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8"/>
  <workbookPr/>
  <mc:AlternateContent xmlns:mc="http://schemas.openxmlformats.org/markup-compatibility/2006">
    <mc:Choice Requires="x15">
      <x15ac:absPath xmlns:x15ac="http://schemas.microsoft.com/office/spreadsheetml/2010/11/ac" url="https://ftchq-my.sharepoint.com/personal/andrew_ftconsultants_com_au/Documents/Marketing/Landing Page/Website Ready/"/>
    </mc:Choice>
  </mc:AlternateContent>
  <xr:revisionPtr revIDLastSave="17" documentId="8_{89DB030E-9941-C64E-8C90-5259ED5F3EBF}" xr6:coauthVersionLast="47" xr6:coauthVersionMax="47" xr10:uidLastSave="{34257176-B172-474B-879F-27E7A471C7EE}"/>
  <workbookProtection workbookAlgorithmName="SHA-512" workbookHashValue="MemgVXXIy4jjx24NTBPaPTBlaRe/JW081ANpJBkYooF7yjuYCq0bIqZqJMnJw4HXgH9eXTI3FRz64Ci0MxyocA==" workbookSaltValue="NbMW4KJBpFtdYzCHc5wSnQ==" workbookSpinCount="100000" lockStructure="1"/>
  <bookViews>
    <workbookView xWindow="-940" yWindow="-21000" windowWidth="38400" windowHeight="21000" tabRatio="500" activeTab="5" xr2:uid="{00000000-000D-0000-FFFF-FFFF00000000}"/>
  </bookViews>
  <sheets>
    <sheet name="How To Use" sheetId="1" r:id="rId1"/>
    <sheet name="Inputs" sheetId="2" r:id="rId2"/>
    <sheet name="Dashboard" sheetId="3" r:id="rId3"/>
    <sheet name="Year-by-Year Analysis" sheetId="4" r:id="rId4"/>
    <sheet name="Long-term Equity View" sheetId="8" r:id="rId5"/>
    <sheet name="Sensitivity Analysis" sheetId="5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3" i="4" l="1"/>
  <c r="I33" i="4"/>
  <c r="F33" i="4"/>
  <c r="E33" i="4"/>
  <c r="C33" i="4"/>
  <c r="C11" i="8" s="1"/>
  <c r="J32" i="4"/>
  <c r="I32" i="4"/>
  <c r="F32" i="4"/>
  <c r="E32" i="4"/>
  <c r="C32" i="4"/>
  <c r="J31" i="4"/>
  <c r="I31" i="4"/>
  <c r="F31" i="4"/>
  <c r="E31" i="4"/>
  <c r="C31" i="4"/>
  <c r="J30" i="4"/>
  <c r="I30" i="4"/>
  <c r="F30" i="4"/>
  <c r="E30" i="4"/>
  <c r="C30" i="4"/>
  <c r="J29" i="4"/>
  <c r="I29" i="4"/>
  <c r="F29" i="4"/>
  <c r="E29" i="4"/>
  <c r="C29" i="4"/>
  <c r="C41" i="8" s="1"/>
  <c r="J28" i="4"/>
  <c r="I28" i="4"/>
  <c r="F28" i="4"/>
  <c r="E28" i="4"/>
  <c r="C28" i="4"/>
  <c r="C10" i="8" s="1"/>
  <c r="J27" i="4"/>
  <c r="I27" i="4"/>
  <c r="F27" i="4"/>
  <c r="E27" i="4"/>
  <c r="C27" i="4"/>
  <c r="F40" i="8" s="1"/>
  <c r="J26" i="4"/>
  <c r="I26" i="4"/>
  <c r="F26" i="4"/>
  <c r="E26" i="4"/>
  <c r="C26" i="4"/>
  <c r="J25" i="4"/>
  <c r="I25" i="4"/>
  <c r="F25" i="4"/>
  <c r="E25" i="4"/>
  <c r="C25" i="4"/>
  <c r="F38" i="8" s="1"/>
  <c r="J24" i="4"/>
  <c r="I24" i="4"/>
  <c r="F24" i="4"/>
  <c r="E24" i="4"/>
  <c r="C24" i="4"/>
  <c r="C36" i="8" s="1"/>
  <c r="J23" i="4"/>
  <c r="I23" i="4"/>
  <c r="F23" i="4"/>
  <c r="E23" i="4"/>
  <c r="C23" i="4"/>
  <c r="C9" i="8" s="1"/>
  <c r="J22" i="4"/>
  <c r="I22" i="4"/>
  <c r="F22" i="4"/>
  <c r="E22" i="4"/>
  <c r="C22" i="4"/>
  <c r="J21" i="4"/>
  <c r="I21" i="4"/>
  <c r="F21" i="4"/>
  <c r="E21" i="4"/>
  <c r="C21" i="4"/>
  <c r="J20" i="4"/>
  <c r="I20" i="4"/>
  <c r="F20" i="4"/>
  <c r="E20" i="4"/>
  <c r="C20" i="4"/>
  <c r="J19" i="4"/>
  <c r="I19" i="4"/>
  <c r="F19" i="4"/>
  <c r="E19" i="4"/>
  <c r="C19" i="4"/>
  <c r="C31" i="8" s="1"/>
  <c r="J18" i="4"/>
  <c r="I18" i="4"/>
  <c r="F18" i="4"/>
  <c r="E18" i="4"/>
  <c r="C18" i="4"/>
  <c r="J17" i="4"/>
  <c r="I17" i="4"/>
  <c r="F17" i="4"/>
  <c r="E17" i="4"/>
  <c r="C17" i="4"/>
  <c r="J16" i="4"/>
  <c r="I16" i="4"/>
  <c r="F16" i="4"/>
  <c r="E16" i="4"/>
  <c r="C16" i="4"/>
  <c r="J15" i="4"/>
  <c r="I15" i="4"/>
  <c r="F15" i="4"/>
  <c r="E15" i="4"/>
  <c r="C15" i="4"/>
  <c r="J14" i="4"/>
  <c r="I14" i="4"/>
  <c r="F14" i="4"/>
  <c r="E14" i="4"/>
  <c r="C14" i="4"/>
  <c r="C26" i="8" s="1"/>
  <c r="J13" i="4"/>
  <c r="I13" i="4"/>
  <c r="F13" i="4"/>
  <c r="E13" i="4"/>
  <c r="C13" i="4"/>
  <c r="C7" i="8" s="1"/>
  <c r="J12" i="4"/>
  <c r="I12" i="4"/>
  <c r="F12" i="4"/>
  <c r="E12" i="4"/>
  <c r="C12" i="4"/>
  <c r="J11" i="4"/>
  <c r="I11" i="4"/>
  <c r="F11" i="4"/>
  <c r="E11" i="4"/>
  <c r="C11" i="4"/>
  <c r="J10" i="4"/>
  <c r="I10" i="4"/>
  <c r="F10" i="4"/>
  <c r="E10" i="4"/>
  <c r="C10" i="4"/>
  <c r="J9" i="4"/>
  <c r="I9" i="4"/>
  <c r="F9" i="4"/>
  <c r="E9" i="4"/>
  <c r="C9" i="4"/>
  <c r="C21" i="8" s="1"/>
  <c r="J8" i="4"/>
  <c r="I8" i="4"/>
  <c r="F8" i="4"/>
  <c r="E8" i="4"/>
  <c r="C8" i="4"/>
  <c r="C6" i="8" s="1"/>
  <c r="J7" i="4"/>
  <c r="I7" i="4"/>
  <c r="F7" i="4"/>
  <c r="E7" i="4"/>
  <c r="C7" i="4"/>
  <c r="J6" i="4"/>
  <c r="I6" i="4"/>
  <c r="F6" i="4"/>
  <c r="E6" i="4"/>
  <c r="C6" i="4"/>
  <c r="J5" i="4"/>
  <c r="I5" i="4"/>
  <c r="F5" i="4"/>
  <c r="E5" i="4"/>
  <c r="C5" i="4"/>
  <c r="J4" i="4"/>
  <c r="I4" i="4"/>
  <c r="F4" i="4"/>
  <c r="E4" i="4"/>
  <c r="C4" i="4"/>
  <c r="C16" i="8" s="1"/>
  <c r="C3" i="4"/>
  <c r="B3" i="4"/>
  <c r="B4" i="4" s="1"/>
  <c r="I23" i="3"/>
  <c r="B23" i="3"/>
  <c r="I22" i="3"/>
  <c r="B22" i="3"/>
  <c r="I21" i="3"/>
  <c r="B21" i="3"/>
  <c r="I20" i="3"/>
  <c r="B20" i="3"/>
  <c r="M19" i="3"/>
  <c r="I19" i="3"/>
  <c r="B19" i="3"/>
  <c r="M18" i="3"/>
  <c r="M24" i="3" s="1"/>
  <c r="I18" i="3"/>
  <c r="B18" i="3"/>
  <c r="L13" i="3"/>
  <c r="H13" i="3"/>
  <c r="C29" i="2"/>
  <c r="C28" i="2"/>
  <c r="C27" i="2"/>
  <c r="C26" i="2"/>
  <c r="C25" i="2"/>
  <c r="C24" i="2"/>
  <c r="F30" i="8" l="1"/>
  <c r="F24" i="8"/>
  <c r="G24" i="8" s="1"/>
  <c r="F20" i="8"/>
  <c r="G20" i="8" s="1"/>
  <c r="K4" i="4"/>
  <c r="F45" i="8"/>
  <c r="G45" i="8" s="1"/>
  <c r="F18" i="8"/>
  <c r="F34" i="8"/>
  <c r="G34" i="8" s="1"/>
  <c r="F43" i="8"/>
  <c r="G43" i="8" s="1"/>
  <c r="D3" i="4"/>
  <c r="F28" i="8"/>
  <c r="G28" i="8" s="1"/>
  <c r="K5" i="4"/>
  <c r="K6" i="4" s="1"/>
  <c r="K7" i="4" s="1"/>
  <c r="K8" i="4" s="1"/>
  <c r="G6" i="8" s="1"/>
  <c r="B24" i="3"/>
  <c r="F44" i="8"/>
  <c r="G44" i="8" s="1"/>
  <c r="F35" i="8"/>
  <c r="G35" i="8" s="1"/>
  <c r="F23" i="8"/>
  <c r="G23" i="8" s="1"/>
  <c r="F25" i="8"/>
  <c r="G25" i="8" s="1"/>
  <c r="F19" i="8"/>
  <c r="G19" i="8" s="1"/>
  <c r="F29" i="8"/>
  <c r="G29" i="8" s="1"/>
  <c r="F31" i="8"/>
  <c r="G31" i="8" s="1"/>
  <c r="F33" i="8"/>
  <c r="G33" i="8" s="1"/>
  <c r="F39" i="8"/>
  <c r="G39" i="8" s="1"/>
  <c r="G18" i="8"/>
  <c r="G38" i="8"/>
  <c r="H10" i="3"/>
  <c r="G30" i="8"/>
  <c r="G40" i="8"/>
  <c r="I24" i="3"/>
  <c r="B16" i="8"/>
  <c r="G4" i="4"/>
  <c r="H4" i="4" s="1"/>
  <c r="B5" i="4"/>
  <c r="D4" i="4"/>
  <c r="E16" i="8" s="1"/>
  <c r="F17" i="8"/>
  <c r="G17" i="8" s="1"/>
  <c r="F22" i="8"/>
  <c r="G22" i="8" s="1"/>
  <c r="F27" i="8"/>
  <c r="G27" i="8" s="1"/>
  <c r="F32" i="8"/>
  <c r="G32" i="8" s="1"/>
  <c r="F37" i="8"/>
  <c r="G37" i="8" s="1"/>
  <c r="F42" i="8"/>
  <c r="G42" i="8" s="1"/>
  <c r="C8" i="8"/>
  <c r="C20" i="8"/>
  <c r="C25" i="8"/>
  <c r="C30" i="8"/>
  <c r="C35" i="8"/>
  <c r="C40" i="8"/>
  <c r="C45" i="8"/>
  <c r="F16" i="8"/>
  <c r="F21" i="8"/>
  <c r="G21" i="8" s="1"/>
  <c r="F26" i="8"/>
  <c r="G26" i="8" s="1"/>
  <c r="F36" i="8"/>
  <c r="G36" i="8" s="1"/>
  <c r="F41" i="8"/>
  <c r="G41" i="8" s="1"/>
  <c r="C19" i="8"/>
  <c r="C24" i="8"/>
  <c r="C29" i="8"/>
  <c r="C34" i="8"/>
  <c r="C39" i="8"/>
  <c r="C44" i="8"/>
  <c r="C18" i="8"/>
  <c r="C23" i="8"/>
  <c r="C28" i="8"/>
  <c r="C33" i="8"/>
  <c r="C38" i="8"/>
  <c r="C43" i="8"/>
  <c r="C17" i="8"/>
  <c r="C22" i="8"/>
  <c r="C27" i="8"/>
  <c r="C32" i="8"/>
  <c r="C37" i="8"/>
  <c r="C42" i="8"/>
  <c r="K9" i="4" l="1"/>
  <c r="K10" i="4" s="1"/>
  <c r="K11" i="4" s="1"/>
  <c r="K12" i="4" s="1"/>
  <c r="K13" i="4" s="1"/>
  <c r="B17" i="8"/>
  <c r="G5" i="4"/>
  <c r="L5" i="4" s="1"/>
  <c r="B6" i="4"/>
  <c r="D5" i="4"/>
  <c r="E17" i="8" s="1"/>
  <c r="H46" i="8"/>
  <c r="H16" i="8"/>
  <c r="H17" i="8" s="1"/>
  <c r="H18" i="8" s="1"/>
  <c r="H19" i="8" s="1"/>
  <c r="H20" i="8" s="1"/>
  <c r="H21" i="8" s="1"/>
  <c r="H22" i="8" s="1"/>
  <c r="H23" i="8" s="1"/>
  <c r="H24" i="8" s="1"/>
  <c r="H25" i="8" s="1"/>
  <c r="H26" i="8" s="1"/>
  <c r="H27" i="8" s="1"/>
  <c r="H28" i="8" s="1"/>
  <c r="H29" i="8" s="1"/>
  <c r="H30" i="8" s="1"/>
  <c r="H31" i="8" s="1"/>
  <c r="H32" i="8" s="1"/>
  <c r="H33" i="8" s="1"/>
  <c r="H34" i="8" s="1"/>
  <c r="H35" i="8" s="1"/>
  <c r="H36" i="8" s="1"/>
  <c r="H37" i="8" s="1"/>
  <c r="H38" i="8" s="1"/>
  <c r="H39" i="8" s="1"/>
  <c r="H40" i="8" s="1"/>
  <c r="H41" i="8" s="1"/>
  <c r="H42" i="8" s="1"/>
  <c r="H43" i="8" s="1"/>
  <c r="H44" i="8" s="1"/>
  <c r="H45" i="8" s="1"/>
  <c r="L4" i="4"/>
  <c r="M4" i="4" s="1"/>
  <c r="M5" i="4" s="1"/>
  <c r="G7" i="8"/>
  <c r="K14" i="4"/>
  <c r="K15" i="4" s="1"/>
  <c r="K16" i="4" s="1"/>
  <c r="K17" i="4" s="1"/>
  <c r="K18" i="4" s="1"/>
  <c r="G16" i="8"/>
  <c r="D16" i="8"/>
  <c r="N4" i="4" l="1"/>
  <c r="I46" i="8"/>
  <c r="I16" i="8"/>
  <c r="I17" i="8" s="1"/>
  <c r="I18" i="8" s="1"/>
  <c r="I19" i="8" s="1"/>
  <c r="I20" i="8" s="1"/>
  <c r="I21" i="8" s="1"/>
  <c r="I22" i="8" s="1"/>
  <c r="I23" i="8" s="1"/>
  <c r="I24" i="8" s="1"/>
  <c r="I25" i="8" s="1"/>
  <c r="I26" i="8" s="1"/>
  <c r="I27" i="8" s="1"/>
  <c r="I28" i="8" s="1"/>
  <c r="I29" i="8" s="1"/>
  <c r="I30" i="8" s="1"/>
  <c r="I31" i="8" s="1"/>
  <c r="I32" i="8" s="1"/>
  <c r="I33" i="8" s="1"/>
  <c r="I34" i="8" s="1"/>
  <c r="I35" i="8" s="1"/>
  <c r="I36" i="8" s="1"/>
  <c r="I37" i="8" s="1"/>
  <c r="I38" i="8" s="1"/>
  <c r="I39" i="8" s="1"/>
  <c r="I40" i="8" s="1"/>
  <c r="I41" i="8" s="1"/>
  <c r="I42" i="8" s="1"/>
  <c r="I43" i="8" s="1"/>
  <c r="I44" i="8" s="1"/>
  <c r="I45" i="8" s="1"/>
  <c r="D17" i="8"/>
  <c r="N5" i="4"/>
  <c r="G6" i="4"/>
  <c r="L6" i="4" s="1"/>
  <c r="M6" i="4" s="1"/>
  <c r="B7" i="4"/>
  <c r="D6" i="4"/>
  <c r="B18" i="8"/>
  <c r="G8" i="8"/>
  <c r="K19" i="4"/>
  <c r="K20" i="4" s="1"/>
  <c r="K21" i="4" s="1"/>
  <c r="K22" i="4" s="1"/>
  <c r="K23" i="4" s="1"/>
  <c r="H5" i="4"/>
  <c r="D7" i="4" l="1"/>
  <c r="E19" i="8" s="1"/>
  <c r="G7" i="4"/>
  <c r="L7" i="4" s="1"/>
  <c r="M7" i="4" s="1"/>
  <c r="B19" i="8"/>
  <c r="B8" i="4"/>
  <c r="H6" i="4"/>
  <c r="H7" i="4" s="1"/>
  <c r="D18" i="8"/>
  <c r="N6" i="4"/>
  <c r="E18" i="8"/>
  <c r="K24" i="4"/>
  <c r="K25" i="4" s="1"/>
  <c r="K26" i="4" s="1"/>
  <c r="K27" i="4" s="1"/>
  <c r="K28" i="4" s="1"/>
  <c r="G9" i="8"/>
  <c r="D8" i="4" l="1"/>
  <c r="B6" i="8"/>
  <c r="G8" i="4"/>
  <c r="L8" i="4" s="1"/>
  <c r="M8" i="4" s="1"/>
  <c r="E20" i="8"/>
  <c r="B9" i="4"/>
  <c r="B20" i="8"/>
  <c r="H8" i="4"/>
  <c r="N7" i="4"/>
  <c r="D19" i="8"/>
  <c r="G10" i="8"/>
  <c r="K29" i="4"/>
  <c r="K30" i="4" s="1"/>
  <c r="K31" i="4" s="1"/>
  <c r="K32" i="4" s="1"/>
  <c r="K33" i="4" s="1"/>
  <c r="G11" i="8" l="1"/>
  <c r="B13" i="3"/>
  <c r="F6" i="8"/>
  <c r="B21" i="8"/>
  <c r="G9" i="4"/>
  <c r="L9" i="4" s="1"/>
  <c r="M9" i="4" s="1"/>
  <c r="B10" i="4"/>
  <c r="D9" i="4"/>
  <c r="E21" i="8" s="1"/>
  <c r="E6" i="8"/>
  <c r="D6" i="8"/>
  <c r="N8" i="4"/>
  <c r="H6" i="8" s="1"/>
  <c r="D20" i="8"/>
  <c r="H9" i="4" l="1"/>
  <c r="N9" i="4"/>
  <c r="D21" i="8"/>
  <c r="B11" i="4"/>
  <c r="D10" i="4"/>
  <c r="B22" i="8"/>
  <c r="G10" i="4"/>
  <c r="L10" i="4" s="1"/>
  <c r="M10" i="4" s="1"/>
  <c r="D22" i="8" l="1"/>
  <c r="N10" i="4"/>
  <c r="E22" i="8"/>
  <c r="B23" i="8"/>
  <c r="G11" i="4"/>
  <c r="L11" i="4" s="1"/>
  <c r="M11" i="4" s="1"/>
  <c r="B12" i="4"/>
  <c r="D11" i="4"/>
  <c r="H10" i="4"/>
  <c r="H11" i="4" s="1"/>
  <c r="D23" i="8" l="1"/>
  <c r="N11" i="4"/>
  <c r="G12" i="4"/>
  <c r="L12" i="4" s="1"/>
  <c r="M12" i="4" s="1"/>
  <c r="B13" i="4"/>
  <c r="D12" i="4"/>
  <c r="B24" i="8"/>
  <c r="E23" i="8"/>
  <c r="D24" i="8" l="1"/>
  <c r="N12" i="4"/>
  <c r="B14" i="4"/>
  <c r="D13" i="4"/>
  <c r="E25" i="8"/>
  <c r="B7" i="8"/>
  <c r="B25" i="8"/>
  <c r="G13" i="4"/>
  <c r="L13" i="4" s="1"/>
  <c r="M13" i="4" s="1"/>
  <c r="E24" i="8"/>
  <c r="H12" i="4"/>
  <c r="H13" i="4" l="1"/>
  <c r="N13" i="4"/>
  <c r="E7" i="8"/>
  <c r="D7" i="8"/>
  <c r="D25" i="8"/>
  <c r="B26" i="8"/>
  <c r="G14" i="4"/>
  <c r="L14" i="4" s="1"/>
  <c r="M14" i="4" s="1"/>
  <c r="B15" i="4"/>
  <c r="D14" i="4"/>
  <c r="B27" i="8" l="1"/>
  <c r="G15" i="4"/>
  <c r="L15" i="4" s="1"/>
  <c r="M15" i="4" s="1"/>
  <c r="B16" i="4"/>
  <c r="D15" i="4"/>
  <c r="H7" i="8"/>
  <c r="D26" i="8"/>
  <c r="N14" i="4"/>
  <c r="F7" i="8"/>
  <c r="H14" i="4"/>
  <c r="E26" i="8"/>
  <c r="D27" i="8" l="1"/>
  <c r="N15" i="4"/>
  <c r="G16" i="4"/>
  <c r="L16" i="4" s="1"/>
  <c r="M16" i="4" s="1"/>
  <c r="B17" i="4"/>
  <c r="D16" i="4"/>
  <c r="B28" i="8"/>
  <c r="H15" i="4"/>
  <c r="E27" i="8"/>
  <c r="H16" i="4" l="1"/>
  <c r="D28" i="8"/>
  <c r="N16" i="4"/>
  <c r="D17" i="4"/>
  <c r="E29" i="8"/>
  <c r="B29" i="8"/>
  <c r="G17" i="4"/>
  <c r="L17" i="4" s="1"/>
  <c r="M17" i="4" s="1"/>
  <c r="B18" i="4"/>
  <c r="E28" i="8"/>
  <c r="G18" i="4" l="1"/>
  <c r="L18" i="4" s="1"/>
  <c r="M18" i="4" s="1"/>
  <c r="B19" i="4"/>
  <c r="D18" i="4"/>
  <c r="B30" i="8"/>
  <c r="B8" i="8"/>
  <c r="N17" i="4"/>
  <c r="D29" i="8"/>
  <c r="H17" i="4"/>
  <c r="H18" i="4" s="1"/>
  <c r="B31" i="8" l="1"/>
  <c r="G19" i="4"/>
  <c r="L19" i="4" s="1"/>
  <c r="M19" i="4" s="1"/>
  <c r="B20" i="4"/>
  <c r="D19" i="4"/>
  <c r="E31" i="8" s="1"/>
  <c r="F8" i="8"/>
  <c r="E8" i="8"/>
  <c r="D30" i="8"/>
  <c r="D8" i="8"/>
  <c r="N18" i="4"/>
  <c r="H8" i="8" s="1"/>
  <c r="E30" i="8"/>
  <c r="H19" i="4" l="1"/>
  <c r="N19" i="4"/>
  <c r="D31" i="8"/>
  <c r="B21" i="4"/>
  <c r="D20" i="4"/>
  <c r="B32" i="8"/>
  <c r="G20" i="4"/>
  <c r="L20" i="4" s="1"/>
  <c r="M20" i="4" s="1"/>
  <c r="B33" i="8" l="1"/>
  <c r="G21" i="4"/>
  <c r="L21" i="4" s="1"/>
  <c r="M21" i="4" s="1"/>
  <c r="B22" i="4"/>
  <c r="D21" i="4"/>
  <c r="D32" i="8"/>
  <c r="N20" i="4"/>
  <c r="E32" i="8"/>
  <c r="H20" i="4"/>
  <c r="H21" i="4" s="1"/>
  <c r="G22" i="4" l="1"/>
  <c r="L22" i="4" s="1"/>
  <c r="M22" i="4" s="1"/>
  <c r="B23" i="4"/>
  <c r="D22" i="4"/>
  <c r="B34" i="8"/>
  <c r="D33" i="8"/>
  <c r="N21" i="4"/>
  <c r="E33" i="8"/>
  <c r="B24" i="4" l="1"/>
  <c r="B9" i="8"/>
  <c r="D23" i="4"/>
  <c r="E35" i="8" s="1"/>
  <c r="B35" i="8"/>
  <c r="G23" i="4"/>
  <c r="L23" i="4" s="1"/>
  <c r="M23" i="4" s="1"/>
  <c r="D34" i="8"/>
  <c r="N22" i="4"/>
  <c r="E34" i="8"/>
  <c r="H22" i="4"/>
  <c r="D9" i="8" l="1"/>
  <c r="N23" i="4"/>
  <c r="H9" i="8" s="1"/>
  <c r="D35" i="8"/>
  <c r="E9" i="8"/>
  <c r="B36" i="8"/>
  <c r="G24" i="4"/>
  <c r="L24" i="4" s="1"/>
  <c r="M24" i="4" s="1"/>
  <c r="B25" i="4"/>
  <c r="D24" i="4"/>
  <c r="H23" i="4"/>
  <c r="D36" i="8" l="1"/>
  <c r="N24" i="4"/>
  <c r="B37" i="8"/>
  <c r="G25" i="4"/>
  <c r="L25" i="4" s="1"/>
  <c r="M25" i="4" s="1"/>
  <c r="B26" i="4"/>
  <c r="D25" i="4"/>
  <c r="E36" i="8"/>
  <c r="H24" i="4"/>
  <c r="F9" i="8"/>
  <c r="H25" i="4" l="1"/>
  <c r="G26" i="4"/>
  <c r="L26" i="4" s="1"/>
  <c r="M26" i="4" s="1"/>
  <c r="B27" i="4"/>
  <c r="D26" i="4"/>
  <c r="B38" i="8"/>
  <c r="D37" i="8"/>
  <c r="N25" i="4"/>
  <c r="E37" i="8"/>
  <c r="D27" i="4" l="1"/>
  <c r="E39" i="8"/>
  <c r="B39" i="8"/>
  <c r="G27" i="4"/>
  <c r="L27" i="4" s="1"/>
  <c r="M27" i="4" s="1"/>
  <c r="B28" i="4"/>
  <c r="D38" i="8"/>
  <c r="N26" i="4"/>
  <c r="E38" i="8"/>
  <c r="H26" i="4"/>
  <c r="H27" i="4" s="1"/>
  <c r="G28" i="4" l="1"/>
  <c r="L28" i="4" s="1"/>
  <c r="M28" i="4" s="1"/>
  <c r="B10" i="8"/>
  <c r="B29" i="4"/>
  <c r="D28" i="4"/>
  <c r="B40" i="8"/>
  <c r="N27" i="4"/>
  <c r="D39" i="8"/>
  <c r="E10" i="8" l="1"/>
  <c r="D10" i="8"/>
  <c r="D40" i="8"/>
  <c r="N28" i="4"/>
  <c r="H10" i="8" s="1"/>
  <c r="B41" i="8"/>
  <c r="G29" i="4"/>
  <c r="L29" i="4" s="1"/>
  <c r="M29" i="4" s="1"/>
  <c r="B30" i="4"/>
  <c r="D29" i="4"/>
  <c r="E41" i="8" s="1"/>
  <c r="E40" i="8"/>
  <c r="H28" i="4"/>
  <c r="N29" i="4" l="1"/>
  <c r="D41" i="8"/>
  <c r="B31" i="4"/>
  <c r="D30" i="4"/>
  <c r="B42" i="8"/>
  <c r="G30" i="4"/>
  <c r="L30" i="4" s="1"/>
  <c r="M30" i="4" s="1"/>
  <c r="H29" i="4"/>
  <c r="F10" i="8"/>
  <c r="H30" i="4" l="1"/>
  <c r="B43" i="8"/>
  <c r="G31" i="4"/>
  <c r="L31" i="4" s="1"/>
  <c r="M31" i="4" s="1"/>
  <c r="B32" i="4"/>
  <c r="D31" i="4"/>
  <c r="D42" i="8"/>
  <c r="N30" i="4"/>
  <c r="E42" i="8"/>
  <c r="D43" i="8" l="1"/>
  <c r="N31" i="4"/>
  <c r="G32" i="4"/>
  <c r="L32" i="4" s="1"/>
  <c r="M32" i="4" s="1"/>
  <c r="B33" i="4"/>
  <c r="B10" i="3" s="1"/>
  <c r="D32" i="4"/>
  <c r="B44" i="8"/>
  <c r="E43" i="8"/>
  <c r="H31" i="4"/>
  <c r="H32" i="4" s="1"/>
  <c r="D33" i="4" l="1"/>
  <c r="E10" i="3" s="1"/>
  <c r="E45" i="8"/>
  <c r="B11" i="8"/>
  <c r="B45" i="8"/>
  <c r="G33" i="4"/>
  <c r="L33" i="4" s="1"/>
  <c r="M33" i="4" s="1"/>
  <c r="E13" i="3" s="1"/>
  <c r="D44" i="8"/>
  <c r="N32" i="4"/>
  <c r="E44" i="8"/>
  <c r="N33" i="4" l="1"/>
  <c r="E11" i="8"/>
  <c r="D11" i="8"/>
  <c r="D45" i="8"/>
  <c r="H33" i="4"/>
  <c r="F11" i="8" l="1"/>
  <c r="L10" i="3"/>
  <c r="H11" i="8"/>
  <c r="A4" i="3"/>
  <c r="A5" i="3"/>
</calcChain>
</file>

<file path=xl/sharedStrings.xml><?xml version="1.0" encoding="utf-8"?>
<sst xmlns="http://schemas.openxmlformats.org/spreadsheetml/2006/main" count="207" uniqueCount="192">
  <si>
    <t>🏠  RENT vs BUY CALCULATOR — HOW TO USE</t>
  </si>
  <si>
    <t>STEP 1:</t>
  </si>
  <si>
    <t xml:space="preserve">  • Left side: Enter your property purchase details (price, deposit, interest rate, etc.)</t>
  </si>
  <si>
    <t xml:space="preserve">  • Right side: Enter your current rent and investment assumptions</t>
  </si>
  <si>
    <t>STEP 2:</t>
  </si>
  <si>
    <t>Check the 'Dashboard' tab to see if buying or renting is better for you.</t>
  </si>
  <si>
    <t xml:space="preserve">  • The verdict at the top tells you the winner</t>
  </si>
  <si>
    <t xml:space="preserve">  • Key metrics show your projected wealth in both scenarios</t>
  </si>
  <si>
    <t xml:space="preserve">  • Charts visualize the comparison over 30 years</t>
  </si>
  <si>
    <t>STEP 3:</t>
  </si>
  <si>
    <t>Review the 'Year-by-Year Analysis' tab for detailed annual projections.</t>
  </si>
  <si>
    <t>STEP 4:</t>
  </si>
  <si>
    <t>Use the 'Sensitivity Analysis' tab to explore different market scenarios.</t>
  </si>
  <si>
    <t xml:space="preserve">  • Try changing inputs to see how rate changes or market conditions affect the result</t>
  </si>
  <si>
    <t>KEY:</t>
  </si>
  <si>
    <t>⬛ Black cells = Calculated automatically (don't edit)</t>
  </si>
  <si>
    <t>NOTES:</t>
  </si>
  <si>
    <t>• All calculations assume principal &amp; interest loan repayments</t>
  </si>
  <si>
    <t>• Property growth and investment returns are compounded annually</t>
  </si>
  <si>
    <t>• Stamp duty varies by state — use your state's calculator for exact amount</t>
  </si>
  <si>
    <t>Built for the Australian property market 🇦🇺</t>
  </si>
  <si>
    <t>🏠  RENT vs BUY PROPERTY CALCULATOR  —  AUSTRALIA</t>
  </si>
  <si>
    <t>🏡  BUYING SCENARIO</t>
  </si>
  <si>
    <t>🏢  RENTING SCENARIO</t>
  </si>
  <si>
    <t>Property Purchase Price ($)</t>
  </si>
  <si>
    <t>Weekly Rent ($)</t>
  </si>
  <si>
    <t>Deposit (%)</t>
  </si>
  <si>
    <t>Rent Increase (% p.a.)</t>
  </si>
  <si>
    <t>Loan Term (years)</t>
  </si>
  <si>
    <t>Renters Insurance ($ p.a.)</t>
  </si>
  <si>
    <t>Interest Rate (% p.a.)</t>
  </si>
  <si>
    <t>Investment Return Rate (% p.a.)</t>
  </si>
  <si>
    <t>Stamp Duty ($)</t>
  </si>
  <si>
    <t>Investment Tax Rate (%)</t>
  </si>
  <si>
    <t>Legal &amp; Conveyancing ($)</t>
  </si>
  <si>
    <t>Building &amp; Pest Inspection ($)</t>
  </si>
  <si>
    <t>Loan Establishment Fee ($)</t>
  </si>
  <si>
    <t>Lenders Mortgage Insurance ($)</t>
  </si>
  <si>
    <t>Council Rates ($ p.a.)</t>
  </si>
  <si>
    <t>Water Rates ($ p.a.)</t>
  </si>
  <si>
    <t>Strata/Body Corp ($ p.a.)</t>
  </si>
  <si>
    <t>Home Insurance ($ p.a.)</t>
  </si>
  <si>
    <t>Maintenance (% of value p.a.)</t>
  </si>
  <si>
    <t>Property Growth Rate (% p.a.)</t>
  </si>
  <si>
    <t>Analysis Period (years)</t>
  </si>
  <si>
    <t>📊  QUICK SUMMARY (See Dashboard for full analysis)</t>
  </si>
  <si>
    <t>Loan Amount ($)</t>
  </si>
  <si>
    <t>Monthly Mortgage Repayment ($)</t>
  </si>
  <si>
    <t>Total Upfront Costs ($)</t>
  </si>
  <si>
    <t>Annual Rent ($)</t>
  </si>
  <si>
    <t>Monthly Rent ($)</t>
  </si>
  <si>
    <t>Deposit Amount ($)</t>
  </si>
  <si>
    <t>📊  RENT vs BUY DASHBOARD  —  SHOULD YOU BUY?</t>
  </si>
  <si>
    <t>THE VERDICT</t>
  </si>
  <si>
    <t>KEY METRICS AT END OF ANALYSIS PERIOD</t>
  </si>
  <si>
    <t>Property Value</t>
  </si>
  <si>
    <t>Equity Built</t>
  </si>
  <si>
    <t>Remaining Loan</t>
  </si>
  <si>
    <t>Total Buying Costs</t>
  </si>
  <si>
    <t>Total Rent Paid</t>
  </si>
  <si>
    <t>Investment Portfolio</t>
  </si>
  <si>
    <t>Monthly Mortgage</t>
  </si>
  <si>
    <t>Monthly Rent (Today)</t>
  </si>
  <si>
    <t>💰  UPFRONT COSTS TO BUY</t>
  </si>
  <si>
    <t>📅  ANNUAL ONGOING COSTS (Year 1)</t>
  </si>
  <si>
    <t>BUYING</t>
  </si>
  <si>
    <t>RENTING</t>
  </si>
  <si>
    <t>Deposit</t>
  </si>
  <si>
    <t>Mortgage Repayments</t>
  </si>
  <si>
    <t>Annual Rent</t>
  </si>
  <si>
    <t>Stamp Duty</t>
  </si>
  <si>
    <t>Council Rates</t>
  </si>
  <si>
    <t>Renters Insurance</t>
  </si>
  <si>
    <t>Legal &amp; Conveyancing</t>
  </si>
  <si>
    <t>Water Rates</t>
  </si>
  <si>
    <t>Building &amp; Pest Inspection</t>
  </si>
  <si>
    <t>Strata/Body Corp</t>
  </si>
  <si>
    <t>Loan Establishment Fee</t>
  </si>
  <si>
    <t>Home Insurance</t>
  </si>
  <si>
    <t>Lenders Mortgage Insurance</t>
  </si>
  <si>
    <t>Maintenance</t>
  </si>
  <si>
    <t>TOTAL UPFRONT COSTS</t>
  </si>
  <si>
    <t>TOTAL BUY p.a.</t>
  </si>
  <si>
    <t>TOTAL RENT p.a.</t>
  </si>
  <si>
    <t>📈  WEALTH COMPARISON OVER TIME</t>
  </si>
  <si>
    <t>📈  YEAR-BY-YEAR RENT vs BUY ANALYSIS</t>
  </si>
  <si>
    <t>Year</t>
  </si>
  <si>
    <t>Property Value ($)</t>
  </si>
  <si>
    <t>Loan Balance ($)</t>
  </si>
  <si>
    <t>Equity ($)</t>
  </si>
  <si>
    <t>Mortgage Paid ($)</t>
  </si>
  <si>
    <t>Rates &amp; Insurance ($)</t>
  </si>
  <si>
    <t>Maintenance ($)</t>
  </si>
  <si>
    <t>Total Buy Cost ($)</t>
  </si>
  <si>
    <t>Renters Insurance ($)</t>
  </si>
  <si>
    <t>Total Rent Cost ($)</t>
  </si>
  <si>
    <t>Savings if Renting ($)</t>
  </si>
  <si>
    <t>Invested Savings ($)</t>
  </si>
  <si>
    <t>Buy Advantage ($)</t>
  </si>
  <si>
    <t>🔍  SENSITIVITY ANALYSIS — WHAT-IF SCENARIOS</t>
  </si>
  <si>
    <t>This table shows how the Buy Advantage changes with different interest rates and property growth rates.</t>
  </si>
  <si>
    <t>Positive values = Buying is better. Negative values = Renting is better.</t>
  </si>
  <si>
    <t>SCENARIO COMPARISON TABLE</t>
  </si>
  <si>
    <t>Scenario</t>
  </si>
  <si>
    <t>Interest Rate</t>
  </si>
  <si>
    <t>Property Growth</t>
  </si>
  <si>
    <t>Rent Increase</t>
  </si>
  <si>
    <t>Weekly Rent</t>
  </si>
  <si>
    <t>Description</t>
  </si>
  <si>
    <t>Conservative Bear Market</t>
  </si>
  <si>
    <t>4.0%</t>
  </si>
  <si>
    <t>2.0%</t>
  </si>
  <si>
    <t>5.0%</t>
  </si>
  <si>
    <t>$650/wk</t>
  </si>
  <si>
    <t>A cautious scenario with low growth and higher rates</t>
  </si>
  <si>
    <t>Current Market (Default)</t>
  </si>
  <si>
    <t>6.25%</t>
  </si>
  <si>
    <t>$550/wk</t>
  </si>
  <si>
    <t>Based on your current input assumptions</t>
  </si>
  <si>
    <t>Rate Cut Scenario</t>
  </si>
  <si>
    <t>4.5%</t>
  </si>
  <si>
    <t>If RBA cuts rates further</t>
  </si>
  <si>
    <t>High Growth Market</t>
  </si>
  <si>
    <t>5.5%</t>
  </si>
  <si>
    <t>7.0%</t>
  </si>
  <si>
    <t>$600/wk</t>
  </si>
  <si>
    <t>Strong property market with rising rents</t>
  </si>
  <si>
    <t>Worst Case: Stagnant</t>
  </si>
  <si>
    <t>1.0%</t>
  </si>
  <si>
    <t>3.0%</t>
  </si>
  <si>
    <t>$500/wk</t>
  </si>
  <si>
    <t>High rates, flat property, slow rent growth</t>
  </si>
  <si>
    <t>Best Case: Boom</t>
  </si>
  <si>
    <t>8.0%</t>
  </si>
  <si>
    <t>6.0%</t>
  </si>
  <si>
    <t>Rate cuts with strong property boom</t>
  </si>
  <si>
    <t>🇦🇺  AUSTRALIAN MARKET NOTES</t>
  </si>
  <si>
    <t xml:space="preserve">  •  Stamp Duty: Varies by state. Use your state's revenue office calculator for exact amounts.</t>
  </si>
  <si>
    <t xml:space="preserve">  •  First Home Buyer: You may be eligible for stamp duty concessions or the First Home Owner Grant (FHOG).</t>
  </si>
  <si>
    <t xml:space="preserve">  •  LMI: Required when deposit is below 20%. Can add $10,000-$40,000+ to costs.</t>
  </si>
  <si>
    <t xml:space="preserve">  •  Negative Gearing: This model doesn't factor in tax benefits of negatively geared investment properties.</t>
  </si>
  <si>
    <t xml:space="preserve">  •  CGT Discount: Owner-occupied properties are exempt from Capital Gains Tax in Australia.</t>
  </si>
  <si>
    <t xml:space="preserve">  •  Interest Rate Risk: Variable rates can change. Consider fixing a portion of your loan.</t>
  </si>
  <si>
    <t xml:space="preserve">  •  Opportunity Cost: The model accounts for what your deposit could earn if invested in shares/ETFs instead.</t>
  </si>
  <si>
    <t xml:space="preserve">  •  Rental Yield: Compare the rental yield (annual rent / property value) to mortgage interest rate.</t>
  </si>
  <si>
    <t>📈  LONG-TERM EQUITY VIEW — 30 YEAR WEALTH PROJECTION</t>
  </si>
  <si>
    <t>Track how your property equity grows over time and compare against renting + investing</t>
  </si>
  <si>
    <t>🏆  KEY EQUITY MILESTONES</t>
  </si>
  <si>
    <t>Milestone</t>
  </si>
  <si>
    <t>Loan Remaining</t>
  </si>
  <si>
    <t>Equity %</t>
  </si>
  <si>
    <t>Total Mortgage Paid</t>
  </si>
  <si>
    <t>Total Rent Would Be</t>
  </si>
  <si>
    <t>Buy Advantage</t>
  </si>
  <si>
    <t>Period</t>
  </si>
  <si>
    <t>5 Years</t>
  </si>
  <si>
    <t>Short-term</t>
  </si>
  <si>
    <t>10 Years</t>
  </si>
  <si>
    <t>Medium-term</t>
  </si>
  <si>
    <t>15 Years</t>
  </si>
  <si>
    <t>Mid-life</t>
  </si>
  <si>
    <t>20 Years</t>
  </si>
  <si>
    <t>Long-term</t>
  </si>
  <si>
    <t>25 Years</t>
  </si>
  <si>
    <t>Pre-retirement</t>
  </si>
  <si>
    <t>30 Years</t>
  </si>
  <si>
    <t>Full loan term</t>
  </si>
  <si>
    <t>📊  DETAILED EQUITY BREAKDOWN — EVERY YEAR</t>
  </si>
  <si>
    <t>Loan Balance</t>
  </si>
  <si>
    <t>Equity (%)</t>
  </si>
  <si>
    <t>Principal Paid
This Year</t>
  </si>
  <si>
    <t>Interest Paid
This Year</t>
  </si>
  <si>
    <t>Cumulative
Principal</t>
  </si>
  <si>
    <t>Cumulative
Interest</t>
  </si>
  <si>
    <t>TOTAL</t>
  </si>
  <si>
    <t>📈  EQUITY GROWTH VISUALISATION</t>
  </si>
  <si>
    <t>💡  KEY INSIGHTS</t>
  </si>
  <si>
    <t xml:space="preserve">  📌  Principal vs Interest: In the early years, most of your repayment goes to INTEREST, not reducing your loan. This reverses over time.</t>
  </si>
  <si>
    <t xml:space="preserve">  📌  Equity Acceleration: Property equity grows faster in later years due to compounding growth + faster principal reduction.</t>
  </si>
  <si>
    <t xml:space="preserve">  📌  The Crossover Point: Watch for when your equity exceeds the investment portfolio value — this is when buying definitively wins.</t>
  </si>
  <si>
    <t xml:space="preserve">  📌  Forced Savings: A mortgage forces you to build equity. Renting relies on discipline to invest the difference consistently.</t>
  </si>
  <si>
    <t xml:space="preserve">  📌  Capital Gains Tax: Owner-occupied property is CGT-exempt in Australia. Investment returns are taxed at your marginal rate.</t>
  </si>
  <si>
    <t xml:space="preserve">  📌  Renovation Value: Unlike shares, you can add value to property through renovations — this isn't modelled but is a real advantage.</t>
  </si>
  <si>
    <t>• The model compares total wealth: property equity vs invested savings (not share trading, crypto, etc. investments)</t>
  </si>
  <si>
    <t>Go to the 'Inputs' tab and fill in all the YELLOW cells with your details.</t>
  </si>
  <si>
    <t>Insta: andrewromano.ftcau</t>
  </si>
  <si>
    <t>Enter your details below (yellow cells). All calculations update automatically.</t>
  </si>
  <si>
    <t>🟨  Yellow cells = Your inputs (change these!)</t>
  </si>
  <si>
    <t>💡 TIP: Change the yellow input cells on the Inputs sheet to model any scenario below, then check the Dashboard for results.</t>
  </si>
  <si>
    <t>Website: https://andrewromano.com.au</t>
  </si>
  <si>
    <t>Connect via Socials for Resources</t>
  </si>
  <si>
    <t>• This is for education purposes only - consult with your financial or tax advisor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</si>
</sst>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\$#,##0"/>
    <numFmt numFmtId="165" formatCode="0.0%"/>
  </numFmts>
  <fonts count="31" x14ac:knownFonts="1">
    <font>
      <sz val="11"/>
      <color theme="1"/>
      <name val="Calibri"/>
      <family val="2"/>
      <charset val="1"/>
    </font>
    <font>
      <b/>
      <sz val="18"/>
      <color rgb="FFFFFFFF"/>
      <name val="Arial"/>
      <family val="2"/>
    </font>
    <font>
      <b/>
      <sz val="11"/>
      <color rgb="FF1B2A4A"/>
      <name val="Arial"/>
      <family val="2"/>
    </font>
    <font>
      <sz val="11"/>
      <color rgb="FF333333"/>
      <name val="Arial"/>
      <family val="2"/>
    </font>
    <font>
      <i/>
      <sz val="10"/>
      <color rgb="FF4A90D9"/>
      <name val="Arial"/>
      <family val="2"/>
    </font>
    <font>
      <b/>
      <sz val="12"/>
      <color rgb="FFFFFFFF"/>
      <name val="Arial"/>
      <family val="2"/>
    </font>
    <font>
      <b/>
      <sz val="10"/>
      <color rgb="FF333333"/>
      <name val="Arial"/>
      <family val="2"/>
    </font>
    <font>
      <b/>
      <sz val="11"/>
      <color rgb="FF0000FF"/>
      <name val="Arial"/>
      <family val="2"/>
    </font>
    <font>
      <b/>
      <sz val="11"/>
      <name val="Arial"/>
      <family val="2"/>
    </font>
    <font>
      <b/>
      <sz val="20"/>
      <color rgb="FFFFFFFF"/>
      <name val="Arial"/>
      <family val="2"/>
    </font>
    <font>
      <b/>
      <sz val="14"/>
      <color rgb="FFFFFFFF"/>
      <name val="Arial"/>
      <family val="2"/>
    </font>
    <font>
      <b/>
      <sz val="16"/>
      <color rgb="FF000000"/>
      <name val="Arial"/>
      <family val="2"/>
    </font>
    <font>
      <i/>
      <sz val="10"/>
      <color rgb="FF555555"/>
      <name val="Arial"/>
      <family val="2"/>
    </font>
    <font>
      <b/>
      <sz val="9"/>
      <color rgb="FF555555"/>
      <name val="Arial"/>
      <family val="2"/>
    </font>
    <font>
      <b/>
      <sz val="14"/>
      <color rgb="FF1B2A4A"/>
      <name val="Arial"/>
      <family val="2"/>
    </font>
    <font>
      <sz val="10"/>
      <color rgb="FF333333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b/>
      <sz val="10"/>
      <color rgb="FF000000"/>
      <name val="Arial"/>
      <family val="2"/>
    </font>
    <font>
      <b/>
      <sz val="10"/>
      <name val="Arial"/>
      <family val="2"/>
    </font>
    <font>
      <b/>
      <sz val="16"/>
      <color rgb="FFFFFFFF"/>
      <name val="Arial"/>
      <family val="2"/>
    </font>
    <font>
      <b/>
      <sz val="9"/>
      <color rgb="FFFFFFFF"/>
      <name val="Arial"/>
      <family val="2"/>
    </font>
    <font>
      <b/>
      <sz val="10"/>
      <color rgb="FFFFFFFF"/>
      <name val="Arial"/>
      <family val="2"/>
    </font>
    <font>
      <b/>
      <sz val="10"/>
      <color rgb="FF4A90D9"/>
      <name val="Arial"/>
      <family val="2"/>
    </font>
    <font>
      <b/>
      <sz val="11"/>
      <color rgb="FF2C3E6B"/>
      <name val="Arial"/>
      <family val="2"/>
    </font>
    <font>
      <b/>
      <sz val="11"/>
      <color rgb="FF27AE60"/>
      <name val="Arial"/>
      <family val="2"/>
    </font>
    <font>
      <b/>
      <sz val="10"/>
      <color rgb="FF1B2A4A"/>
      <name val="Arial"/>
      <family val="2"/>
    </font>
    <font>
      <b/>
      <sz val="11"/>
      <color rgb="FFFFFFFF"/>
      <name val="Arial"/>
      <family val="2"/>
    </font>
    <font>
      <sz val="14"/>
      <color theme="1"/>
      <name val="Calibri"/>
      <family val="2"/>
      <charset val="1"/>
    </font>
    <font>
      <sz val="14"/>
      <color rgb="FF2C3E6B"/>
      <name val="Arial"/>
      <family val="2"/>
    </font>
    <font>
      <b/>
      <sz val="11"/>
      <color theme="1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1B2A4A"/>
        <bgColor rgb="FF333333"/>
      </patternFill>
    </fill>
    <fill>
      <patternFill patternType="solid">
        <fgColor rgb="FFD6E4F0"/>
        <bgColor rgb="FFD9D9D9"/>
      </patternFill>
    </fill>
    <fill>
      <patternFill patternType="solid">
        <fgColor rgb="FF2C3E6B"/>
        <bgColor rgb="FF333333"/>
      </patternFill>
    </fill>
    <fill>
      <patternFill patternType="solid">
        <fgColor rgb="FF4A90D9"/>
        <bgColor rgb="FF878787"/>
      </patternFill>
    </fill>
    <fill>
      <patternFill patternType="solid">
        <fgColor rgb="FFEBF1F8"/>
        <bgColor rgb="FFE8F5E9"/>
      </patternFill>
    </fill>
    <fill>
      <patternFill patternType="solid">
        <fgColor rgb="FFFEF5E7"/>
        <bgColor rgb="FFFFFDE7"/>
      </patternFill>
    </fill>
    <fill>
      <patternFill patternType="solid">
        <fgColor rgb="FFE8F5E9"/>
        <bgColor rgb="FFE0F2F1"/>
      </patternFill>
    </fill>
    <fill>
      <patternFill patternType="solid">
        <fgColor rgb="FF27AE60"/>
        <bgColor rgb="FF009688"/>
      </patternFill>
    </fill>
    <fill>
      <patternFill patternType="solid">
        <fgColor rgb="FFFFFFFF"/>
      </patternFill>
    </fill>
    <fill>
      <patternFill patternType="solid">
        <fgColor rgb="FFFFFF00"/>
        <bgColor rgb="FFFEF5E7"/>
      </patternFill>
    </fill>
    <fill>
      <patternFill patternType="solid">
        <fgColor theme="0"/>
        <bgColor rgb="FF333333"/>
      </patternFill>
    </fill>
    <fill>
      <patternFill patternType="solid">
        <fgColor theme="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rgb="FFD9D9D9"/>
      </patternFill>
    </fill>
    <fill>
      <patternFill patternType="solid">
        <fgColor rgb="FFFFFF00"/>
      </patternFill>
    </fill>
  </fills>
  <borders count="7">
    <border>
      <left/>
      <right/>
      <top/>
      <bottom/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/>
      <top style="thin">
        <color rgb="FFD9D9D9"/>
      </top>
      <bottom style="thin">
        <color rgb="FFD9D9D9"/>
      </bottom>
      <diagonal/>
    </border>
    <border>
      <left/>
      <right style="thin">
        <color rgb="FFD9D9D9"/>
      </right>
      <top style="thin">
        <color rgb="FFD9D9D9"/>
      </top>
      <bottom style="thin">
        <color rgb="FFD9D9D9"/>
      </bottom>
      <diagonal/>
    </border>
    <border>
      <left/>
      <right/>
      <top style="thin">
        <color rgb="FFD9D9D9"/>
      </top>
      <bottom style="thin">
        <color rgb="FFD9D9D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21" fillId="2" borderId="1" xfId="0" applyFont="1" applyFill="1" applyBorder="1" applyAlignment="1">
      <alignment horizontal="center" vertical="center" wrapText="1"/>
    </xf>
    <xf numFmtId="0" fontId="19" fillId="6" borderId="1" xfId="0" applyFont="1" applyFill="1" applyBorder="1" applyAlignment="1">
      <alignment horizontal="center"/>
    </xf>
    <xf numFmtId="164" fontId="16" fillId="6" borderId="1" xfId="0" applyNumberFormat="1" applyFont="1" applyFill="1" applyBorder="1" applyAlignment="1">
      <alignment horizontal="center"/>
    </xf>
    <xf numFmtId="0" fontId="22" fillId="2" borderId="1" xfId="0" applyFont="1" applyFill="1" applyBorder="1" applyAlignment="1">
      <alignment horizontal="center" vertical="center"/>
    </xf>
    <xf numFmtId="0" fontId="17" fillId="6" borderId="1" xfId="0" applyFont="1" applyFill="1" applyBorder="1" applyAlignment="1">
      <alignment horizontal="center" vertical="center"/>
    </xf>
    <xf numFmtId="164" fontId="17" fillId="6" borderId="1" xfId="0" applyNumberFormat="1" applyFont="1" applyFill="1" applyBorder="1" applyAlignment="1">
      <alignment horizontal="center" vertical="center"/>
    </xf>
    <xf numFmtId="164" fontId="17" fillId="8" borderId="1" xfId="0" applyNumberFormat="1" applyFont="1" applyFill="1" applyBorder="1" applyAlignment="1">
      <alignment horizontal="center" vertical="center"/>
    </xf>
    <xf numFmtId="0" fontId="19" fillId="6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165" fontId="17" fillId="6" borderId="1" xfId="0" applyNumberFormat="1" applyFont="1" applyFill="1" applyBorder="1" applyAlignment="1">
      <alignment horizontal="center" vertical="center"/>
    </xf>
    <xf numFmtId="0" fontId="21" fillId="2" borderId="1" xfId="0" applyFont="1" applyFill="1" applyBorder="1" applyAlignment="1">
      <alignment horizontal="center" vertical="center"/>
    </xf>
    <xf numFmtId="0" fontId="26" fillId="8" borderId="1" xfId="0" applyFont="1" applyFill="1" applyBorder="1" applyAlignment="1">
      <alignment horizontal="center" vertical="center"/>
    </xf>
    <xf numFmtId="164" fontId="26" fillId="8" borderId="1" xfId="0" applyNumberFormat="1" applyFont="1" applyFill="1" applyBorder="1" applyAlignment="1">
      <alignment horizontal="center" vertical="center"/>
    </xf>
    <xf numFmtId="165" fontId="26" fillId="8" borderId="1" xfId="0" applyNumberFormat="1" applyFont="1" applyFill="1" applyBorder="1" applyAlignment="1">
      <alignment horizontal="center" vertical="center"/>
    </xf>
    <xf numFmtId="0" fontId="27" fillId="4" borderId="1" xfId="0" applyFont="1" applyFill="1" applyBorder="1" applyAlignment="1">
      <alignment horizontal="center" vertical="center"/>
    </xf>
    <xf numFmtId="0" fontId="0" fillId="4" borderId="0" xfId="0" applyFill="1"/>
    <xf numFmtId="164" fontId="27" fillId="4" borderId="1" xfId="0" applyNumberFormat="1" applyFont="1" applyFill="1" applyBorder="1" applyAlignment="1">
      <alignment horizontal="center" vertical="center"/>
    </xf>
    <xf numFmtId="0" fontId="0" fillId="10" borderId="0" xfId="0" applyFill="1"/>
    <xf numFmtId="0" fontId="2" fillId="10" borderId="0" xfId="0" applyFont="1" applyFill="1"/>
    <xf numFmtId="0" fontId="3" fillId="10" borderId="0" xfId="0" applyFont="1" applyFill="1" applyAlignment="1">
      <alignment wrapText="1"/>
    </xf>
    <xf numFmtId="0" fontId="6" fillId="10" borderId="1" xfId="0" applyFont="1" applyFill="1" applyBorder="1" applyAlignment="1">
      <alignment horizontal="left" vertical="center" wrapText="1"/>
    </xf>
    <xf numFmtId="0" fontId="19" fillId="10" borderId="1" xfId="0" applyFont="1" applyFill="1" applyBorder="1" applyAlignment="1">
      <alignment horizontal="center"/>
    </xf>
    <xf numFmtId="164" fontId="16" fillId="10" borderId="1" xfId="0" applyNumberFormat="1" applyFont="1" applyFill="1" applyBorder="1" applyAlignment="1">
      <alignment horizontal="center"/>
    </xf>
    <xf numFmtId="164" fontId="0" fillId="10" borderId="1" xfId="0" applyNumberFormat="1" applyFill="1" applyBorder="1" applyAlignment="1">
      <alignment horizontal="center"/>
    </xf>
    <xf numFmtId="0" fontId="23" fillId="10" borderId="1" xfId="0" applyFont="1" applyFill="1" applyBorder="1" applyAlignment="1">
      <alignment horizontal="center" vertical="center"/>
    </xf>
    <xf numFmtId="0" fontId="17" fillId="10" borderId="1" xfId="0" applyFont="1" applyFill="1" applyBorder="1" applyAlignment="1">
      <alignment horizontal="center" vertical="center"/>
    </xf>
    <xf numFmtId="164" fontId="17" fillId="10" borderId="1" xfId="0" applyNumberFormat="1" applyFont="1" applyFill="1" applyBorder="1" applyAlignment="1">
      <alignment horizontal="center" vertical="center"/>
    </xf>
    <xf numFmtId="0" fontId="19" fillId="10" borderId="1" xfId="0" applyFont="1" applyFill="1" applyBorder="1" applyAlignment="1">
      <alignment horizontal="center" vertical="center"/>
    </xf>
    <xf numFmtId="0" fontId="2" fillId="10" borderId="1" xfId="0" applyFont="1" applyFill="1" applyBorder="1" applyAlignment="1">
      <alignment horizontal="center" vertical="center"/>
    </xf>
    <xf numFmtId="164" fontId="25" fillId="10" borderId="1" xfId="0" applyNumberFormat="1" applyFont="1" applyFill="1" applyBorder="1" applyAlignment="1">
      <alignment horizontal="center" vertical="center"/>
    </xf>
    <xf numFmtId="165" fontId="17" fillId="10" borderId="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164" fontId="18" fillId="0" borderId="0" xfId="0" applyNumberFormat="1" applyFont="1" applyAlignment="1">
      <alignment horizontal="center"/>
    </xf>
    <xf numFmtId="164" fontId="19" fillId="0" borderId="0" xfId="0" applyNumberFormat="1" applyFont="1" applyAlignment="1">
      <alignment horizontal="center"/>
    </xf>
    <xf numFmtId="164" fontId="7" fillId="11" borderId="1" xfId="0" applyNumberFormat="1" applyFont="1" applyFill="1" applyBorder="1" applyAlignment="1">
      <alignment horizontal="center"/>
    </xf>
    <xf numFmtId="165" fontId="7" fillId="11" borderId="1" xfId="0" applyNumberFormat="1" applyFont="1" applyFill="1" applyBorder="1" applyAlignment="1">
      <alignment horizontal="center"/>
    </xf>
    <xf numFmtId="1" fontId="7" fillId="11" borderId="1" xfId="0" applyNumberFormat="1" applyFont="1" applyFill="1" applyBorder="1" applyAlignment="1">
      <alignment horizontal="center"/>
    </xf>
    <xf numFmtId="10" fontId="7" fillId="11" borderId="1" xfId="0" applyNumberFormat="1" applyFont="1" applyFill="1" applyBorder="1" applyAlignment="1">
      <alignment horizontal="center"/>
    </xf>
    <xf numFmtId="0" fontId="6" fillId="3" borderId="6" xfId="0" applyFont="1" applyFill="1" applyBorder="1" applyAlignment="1">
      <alignment horizontal="left" vertical="center" wrapText="1"/>
    </xf>
    <xf numFmtId="0" fontId="15" fillId="10" borderId="5" xfId="0" applyFont="1" applyFill="1" applyBorder="1" applyAlignment="1">
      <alignment horizontal="left" vertical="center" wrapText="1"/>
    </xf>
    <xf numFmtId="0" fontId="5" fillId="12" borderId="0" xfId="0" applyFont="1" applyFill="1" applyAlignment="1">
      <alignment horizontal="center"/>
    </xf>
    <xf numFmtId="0" fontId="0" fillId="13" borderId="0" xfId="0" applyFill="1"/>
    <xf numFmtId="0" fontId="0" fillId="14" borderId="0" xfId="0" applyFill="1"/>
    <xf numFmtId="0" fontId="6" fillId="7" borderId="6" xfId="0" applyFont="1" applyFill="1" applyBorder="1" applyAlignment="1">
      <alignment horizontal="left" vertical="center" wrapText="1"/>
    </xf>
    <xf numFmtId="0" fontId="6" fillId="3" borderId="5" xfId="0" applyFont="1" applyFill="1" applyBorder="1" applyAlignment="1">
      <alignment horizontal="left" vertical="center" wrapText="1"/>
    </xf>
    <xf numFmtId="0" fontId="6" fillId="7" borderId="5" xfId="0" applyFont="1" applyFill="1" applyBorder="1" applyAlignment="1">
      <alignment horizontal="left" vertical="center" wrapText="1"/>
    </xf>
    <xf numFmtId="0" fontId="0" fillId="10" borderId="0" xfId="0" applyFill="1" applyAlignment="1">
      <alignment vertical="center"/>
    </xf>
    <xf numFmtId="0" fontId="0" fillId="0" borderId="0" xfId="0" applyAlignment="1">
      <alignment vertical="center"/>
    </xf>
    <xf numFmtId="0" fontId="24" fillId="0" borderId="0" xfId="0" applyFont="1" applyAlignment="1">
      <alignment horizontal="center" wrapText="1"/>
    </xf>
    <xf numFmtId="0" fontId="30" fillId="10" borderId="0" xfId="0" applyFont="1" applyFill="1"/>
    <xf numFmtId="0" fontId="1" fillId="2" borderId="0" xfId="0" applyFont="1" applyFill="1" applyAlignment="1">
      <alignment horizontal="center" vertical="center"/>
    </xf>
    <xf numFmtId="0" fontId="0" fillId="10" borderId="0" xfId="0" applyFill="1"/>
    <xf numFmtId="164" fontId="8" fillId="3" borderId="2" xfId="0" applyNumberFormat="1" applyFont="1" applyFill="1" applyBorder="1" applyAlignment="1">
      <alignment horizontal="center"/>
    </xf>
    <xf numFmtId="0" fontId="0" fillId="10" borderId="4" xfId="0" applyFill="1" applyBorder="1"/>
    <xf numFmtId="0" fontId="5" fillId="2" borderId="1" xfId="0" applyFont="1" applyFill="1" applyBorder="1" applyAlignment="1">
      <alignment horizontal="center" vertical="center"/>
    </xf>
    <xf numFmtId="0" fontId="0" fillId="10" borderId="3" xfId="0" applyFill="1" applyBorder="1"/>
    <xf numFmtId="0" fontId="5" fillId="4" borderId="1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0" fillId="10" borderId="0" xfId="0" applyFill="1" applyAlignment="1">
      <alignment vertical="center"/>
    </xf>
    <xf numFmtId="0" fontId="5" fillId="5" borderId="1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center"/>
    </xf>
    <xf numFmtId="164" fontId="16" fillId="10" borderId="5" xfId="0" applyNumberFormat="1" applyFont="1" applyFill="1" applyBorder="1" applyAlignment="1">
      <alignment horizontal="center"/>
    </xf>
    <xf numFmtId="0" fontId="0" fillId="10" borderId="5" xfId="0" applyFill="1" applyBorder="1"/>
    <xf numFmtId="164" fontId="14" fillId="6" borderId="0" xfId="0" applyNumberFormat="1" applyFont="1" applyFill="1" applyAlignment="1">
      <alignment horizontal="center"/>
    </xf>
    <xf numFmtId="0" fontId="5" fillId="4" borderId="0" xfId="0" applyFont="1" applyFill="1" applyAlignment="1">
      <alignment horizontal="center"/>
    </xf>
    <xf numFmtId="164" fontId="17" fillId="10" borderId="5" xfId="0" applyNumberFormat="1" applyFont="1" applyFill="1" applyBorder="1" applyAlignment="1">
      <alignment horizontal="center"/>
    </xf>
    <xf numFmtId="0" fontId="10" fillId="4" borderId="0" xfId="0" applyFont="1" applyFill="1" applyAlignment="1">
      <alignment horizontal="center" vertical="center"/>
    </xf>
    <xf numFmtId="0" fontId="11" fillId="10" borderId="0" xfId="0" applyFont="1" applyFill="1" applyAlignment="1">
      <alignment horizontal="center" vertical="center"/>
    </xf>
    <xf numFmtId="164" fontId="18" fillId="3" borderId="0" xfId="0" applyNumberFormat="1" applyFont="1" applyFill="1" applyAlignment="1">
      <alignment horizontal="center"/>
    </xf>
    <xf numFmtId="164" fontId="19" fillId="3" borderId="0" xfId="0" applyNumberFormat="1" applyFont="1" applyFill="1" applyAlignment="1">
      <alignment horizontal="center"/>
    </xf>
    <xf numFmtId="0" fontId="12" fillId="10" borderId="0" xfId="0" applyFont="1" applyFill="1" applyAlignment="1">
      <alignment horizontal="center"/>
    </xf>
    <xf numFmtId="164" fontId="19" fillId="7" borderId="0" xfId="0" applyNumberFormat="1" applyFont="1" applyFill="1" applyAlignment="1">
      <alignment horizontal="center"/>
    </xf>
    <xf numFmtId="0" fontId="20" fillId="2" borderId="0" xfId="0" applyFont="1" applyFill="1" applyAlignment="1">
      <alignment horizontal="center" vertical="center"/>
    </xf>
    <xf numFmtId="0" fontId="17" fillId="10" borderId="1" xfId="0" applyFont="1" applyFill="1" applyBorder="1" applyAlignment="1">
      <alignment horizontal="left" vertical="center" wrapText="1"/>
    </xf>
    <xf numFmtId="0" fontId="5" fillId="9" borderId="1" xfId="0" applyFont="1" applyFill="1" applyBorder="1" applyAlignment="1">
      <alignment horizontal="center" vertical="center"/>
    </xf>
    <xf numFmtId="0" fontId="17" fillId="6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5" fillId="10" borderId="0" xfId="0" applyFont="1" applyFill="1" applyAlignment="1">
      <alignment vertical="center" wrapText="1"/>
    </xf>
    <xf numFmtId="0" fontId="15" fillId="6" borderId="0" xfId="0" applyFont="1" applyFill="1" applyAlignment="1">
      <alignment vertical="center" wrapText="1"/>
    </xf>
    <xf numFmtId="0" fontId="29" fillId="15" borderId="0" xfId="0" applyFont="1" applyFill="1" applyAlignment="1">
      <alignment horizontal="center" vertical="center" wrapText="1"/>
    </xf>
    <xf numFmtId="0" fontId="28" fillId="16" borderId="0" xfId="0" applyFont="1" applyFill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9688"/>
      <rgbColor rgb="FFB3B3B3"/>
      <rgbColor rgb="FF878787"/>
      <rgbColor rgb="FF9999FF"/>
      <rgbColor rgb="FF7B2D8E"/>
      <rgbColor rgb="FFFFFDE7"/>
      <rgbColor rgb="FFE0F2F1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8F5E9"/>
      <rgbColor rgb="FFD6E4F0"/>
      <rgbColor rgb="FFFEF5E7"/>
      <rgbColor rgb="FFEBF1F8"/>
      <rgbColor rgb="FFFDEDEC"/>
      <rgbColor rgb="FFF9F9F9"/>
      <rgbColor rgb="FFF3E5F5"/>
      <rgbColor rgb="FF4A90D9"/>
      <rgbColor rgb="FF33CCCC"/>
      <rgbColor rgb="FF99CC00"/>
      <rgbColor rgb="FFF1C40F"/>
      <rgbColor rgb="FFF39C12"/>
      <rgbColor rgb="FFE74C3C"/>
      <rgbColor rgb="FF666666"/>
      <rgbColor rgb="FF969696"/>
      <rgbColor rgb="FF1B2A4A"/>
      <rgbColor rgb="FF27AE60"/>
      <rgbColor rgb="FF003300"/>
      <rgbColor rgb="FF555555"/>
      <rgbColor rgb="FF993300"/>
      <rgbColor rgb="FF993366"/>
      <rgbColor rgb="FF2C3E6B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1"/>
  <c:style val="2"/>
  <c:chart>
    <c:title>
      <c:tx>
        <c:rich>
          <a:bodyPr rot="0"/>
          <a:lstStyle/>
          <a:p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en-AU" sz="1800" b="1" strike="noStrike" spc="-1">
                <a:solidFill>
                  <a:srgbClr val="000000"/>
                </a:solidFill>
                <a:latin typeface="Calibri"/>
              </a:rPr>
              <a:t>Buying Equity vs Renting Investment Portfolio</a:t>
            </a:r>
          </a:p>
        </c:rich>
      </c:tx>
      <c:overlay val="0"/>
      <c:spPr>
        <a:noFill/>
        <a:ln w="0">
          <a:noFill/>
          <a:prstDash val="solid"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'Year-by-Year Analysis'!$D$2</c:f>
              <c:strCache>
                <c:ptCount val="1"/>
                <c:pt idx="0">
                  <c:v>Equity ($)</c:v>
                </c:pt>
              </c:strCache>
            </c:strRef>
          </c:tx>
          <c:spPr>
            <a:ln w="28080">
              <a:solidFill>
                <a:srgbClr val="27AE60"/>
              </a:solidFill>
              <a:prstDash val="solid"/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endParaRPr lang="en-US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'Year-by-Year Analysis'!$A$3:$A$33</c:f>
              <c:numCache>
                <c:formatCode>General</c:formatCode>
                <c:ptCount val="3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</c:numCache>
            </c:numRef>
          </c:cat>
          <c:val>
            <c:numRef>
              <c:f>'Year-by-Year Analysis'!$D$3:$D$33</c:f>
              <c:numCache>
                <c:formatCode>\$#,##0</c:formatCode>
                <c:ptCount val="31"/>
                <c:pt idx="0">
                  <c:v>362500</c:v>
                </c:pt>
                <c:pt idx="1">
                  <c:v>419989.88103840384</c:v>
                </c:pt>
                <c:pt idx="2">
                  <c:v>479610.72229296481</c:v>
                </c:pt>
                <c:pt idx="3">
                  <c:v>541450.4383154898</c:v>
                </c:pt>
                <c:pt idx="4">
                  <c:v>605600.9972086976</c:v>
                </c:pt>
                <c:pt idx="5">
                  <c:v>672158.62583989766</c:v>
                </c:pt>
                <c:pt idx="6">
                  <c:v>741224.02614723379</c:v>
                </c:pt>
                <c:pt idx="7">
                  <c:v>812902.60316269507</c:v>
                </c:pt>
                <c:pt idx="8">
                  <c:v>887304.70541203558</c:v>
                </c:pt>
                <c:pt idx="9">
                  <c:v>964545.87838976667</c:v>
                </c:pt>
                <c:pt idx="10">
                  <c:v>1044747.1318476265</c:v>
                </c:pt>
                <c:pt idx="11">
                  <c:v>1128035.221677528</c:v>
                </c:pt>
                <c:pt idx="12">
                  <c:v>1214542.9472150493</c:v>
                </c:pt>
                <c:pt idx="13">
                  <c:v>1304409.4648372459</c:v>
                </c:pt>
                <c:pt idx="14">
                  <c:v>1397780.6187790385</c:v>
                </c:pt>
                <c:pt idx="15">
                  <c:v>1494809.2901458789</c:v>
                </c:pt>
                <c:pt idx="16">
                  <c:v>1595655.7651569436</c:v>
                </c:pt>
                <c:pt idx="17">
                  <c:v>1700488.1237129727</c:v>
                </c:pt>
                <c:pt idx="18">
                  <c:v>1809482.6494462164</c:v>
                </c:pt>
                <c:pt idx="19">
                  <c:v>1922824.2624770408</c:v>
                </c:pt>
                <c:pt idx="20">
                  <c:v>2040706.9761726903</c:v>
                </c:pt>
                <c:pt idx="21">
                  <c:v>2163334.3792788801</c:v>
                </c:pt>
                <c:pt idx="22">
                  <c:v>2290920.1448743776</c:v>
                </c:pt>
                <c:pt idx="23">
                  <c:v>2423688.5676829694</c:v>
                </c:pt>
                <c:pt idx="24">
                  <c:v>2561875.1313662576</c:v>
                </c:pt>
                <c:pt idx="25">
                  <c:v>2705727.1075151199</c:v>
                </c:pt>
                <c:pt idx="26">
                  <c:v>2855504.1881574765</c:v>
                </c:pt>
                <c:pt idx="27">
                  <c:v>3011479.1537057129</c:v>
                </c:pt>
                <c:pt idx="28">
                  <c:v>3173938.5783790206</c:v>
                </c:pt>
                <c:pt idx="29">
                  <c:v>3343183.5752543467</c:v>
                </c:pt>
                <c:pt idx="30">
                  <c:v>3519530.5832250216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9600-EC4C-9670-43A69C6ECBCD}"/>
            </c:ext>
          </c:extLst>
        </c:ser>
        <c:ser>
          <c:idx val="1"/>
          <c:order val="1"/>
          <c:tx>
            <c:strRef>
              <c:f>'Year-by-Year Analysis'!$M$2</c:f>
              <c:strCache>
                <c:ptCount val="1"/>
                <c:pt idx="0">
                  <c:v>Invested Savings ($)</c:v>
                </c:pt>
              </c:strCache>
            </c:strRef>
          </c:tx>
          <c:spPr>
            <a:ln w="28080">
              <a:solidFill>
                <a:srgbClr val="4A90D9"/>
              </a:solidFill>
              <a:prstDash val="solid"/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endParaRPr lang="en-US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'Year-by-Year Analysis'!$A$3:$A$33</c:f>
              <c:numCache>
                <c:formatCode>General</c:formatCode>
                <c:ptCount val="3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</c:numCache>
            </c:numRef>
          </c:cat>
          <c:val>
            <c:numRef>
              <c:f>'Year-by-Year Analysis'!$M$3:$M$33</c:f>
              <c:numCache>
                <c:formatCode>\$#,##0</c:formatCode>
                <c:ptCount val="31"/>
                <c:pt idx="0">
                  <c:v>0</c:v>
                </c:pt>
                <c:pt idx="1">
                  <c:v>473234.75776588358</c:v>
                </c:pt>
                <c:pt idx="2">
                  <c:v>531996.10463123198</c:v>
                </c:pt>
                <c:pt idx="3">
                  <c:v>592105.99785552104</c:v>
                </c:pt>
                <c:pt idx="4">
                  <c:v>653586.25059740304</c:v>
                </c:pt>
                <c:pt idx="5">
                  <c:v>716458.49146484479</c:v>
                </c:pt>
                <c:pt idx="6">
                  <c:v>780744.12122606172</c:v>
                </c:pt>
                <c:pt idx="7">
                  <c:v>846464.2665229158</c:v>
                </c:pt>
                <c:pt idx="8">
                  <c:v>913639.73042040225</c:v>
                </c:pt>
                <c:pt idx="9">
                  <c:v>982290.93961741775</c:v>
                </c:pt>
                <c:pt idx="10">
                  <c:v>1052437.8881351654</c:v>
                </c:pt>
                <c:pt idx="11">
                  <c:v>1124100.0772902842</c:v>
                </c:pt>
                <c:pt idx="12">
                  <c:v>1197296.4517500778</c:v>
                </c:pt>
                <c:pt idx="13">
                  <c:v>1272045.3314570375</c:v>
                </c:pt>
                <c:pt idx="14">
                  <c:v>1348364.33919918</c:v>
                </c:pt>
                <c:pt idx="15">
                  <c:v>1426270.3235915396</c:v>
                </c:pt>
                <c:pt idx="16">
                  <c:v>1505779.277222431</c:v>
                </c:pt>
                <c:pt idx="17">
                  <c:v>1586906.2497058141</c:v>
                </c:pt>
                <c:pt idx="18">
                  <c:v>1669665.2553682241</c:v>
                </c:pt>
                <c:pt idx="19">
                  <c:v>1754069.1752852355</c:v>
                </c:pt>
                <c:pt idx="20">
                  <c:v>1840129.6533682991</c:v>
                </c:pt>
                <c:pt idx="21">
                  <c:v>1927856.986187981</c:v>
                </c:pt>
                <c:pt idx="22">
                  <c:v>2017260.0062041152</c:v>
                </c:pt>
                <c:pt idx="23">
                  <c:v>2108345.9580571293</c:v>
                </c:pt>
                <c:pt idx="24">
                  <c:v>2203221.5261697001</c:v>
                </c:pt>
                <c:pt idx="25">
                  <c:v>2302366.4948473363</c:v>
                </c:pt>
                <c:pt idx="26">
                  <c:v>2405972.9871154665</c:v>
                </c:pt>
                <c:pt idx="27">
                  <c:v>2514241.7715356625</c:v>
                </c:pt>
                <c:pt idx="28">
                  <c:v>2627382.6512547671</c:v>
                </c:pt>
                <c:pt idx="29">
                  <c:v>2745614.8705612314</c:v>
                </c:pt>
                <c:pt idx="30">
                  <c:v>2869167.5397364865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9600-EC4C-9670-43A69C6ECB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0">
              <a:noFill/>
              <a:prstDash val="solid"/>
            </a:ln>
          </c:spPr>
        </c:hiLowLines>
        <c:smooth val="0"/>
        <c:axId val="21139410"/>
        <c:axId val="28064629"/>
      </c:lineChart>
      <c:catAx>
        <c:axId val="21139410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lang="en-AU" sz="1000" b="1" strike="noStrike" spc="-1">
                    <a:solidFill>
                      <a:srgbClr val="000000"/>
                    </a:solidFill>
                    <a:latin typeface="Calibri"/>
                  </a:rPr>
                  <a:t>Year</a:t>
                </a:r>
              </a:p>
            </c:rich>
          </c:tx>
          <c:overlay val="0"/>
          <c:spPr>
            <a:noFill/>
            <a:ln w="0">
              <a:noFill/>
              <a:prstDash val="solid"/>
            </a:ln>
          </c:spPr>
        </c:title>
        <c:numFmt formatCode="General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prstDash val="solid"/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n-US"/>
          </a:p>
        </c:txPr>
        <c:crossAx val="28064629"/>
        <c:crosses val="autoZero"/>
        <c:auto val="1"/>
        <c:lblAlgn val="ctr"/>
        <c:lblOffset val="100"/>
        <c:noMultiLvlLbl val="0"/>
      </c:catAx>
      <c:valAx>
        <c:axId val="28064629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prstDash val="solid"/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lang="en-AU" sz="1000" b="1" strike="noStrike" spc="-1">
                    <a:solidFill>
                      <a:srgbClr val="000000"/>
                    </a:solidFill>
                    <a:latin typeface="Calibri"/>
                  </a:rPr>
                  <a:t>Wealth ($)</a:t>
                </a:r>
              </a:p>
            </c:rich>
          </c:tx>
          <c:overlay val="0"/>
          <c:spPr>
            <a:noFill/>
            <a:ln w="0">
              <a:noFill/>
              <a:prstDash val="solid"/>
            </a:ln>
          </c:spPr>
        </c:title>
        <c:numFmt formatCode="\$#,##0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prstDash val="solid"/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n-US"/>
          </a:p>
        </c:txPr>
        <c:crossAx val="21139410"/>
        <c:crosses val="autoZero"/>
        <c:crossBetween val="between"/>
      </c:valAx>
    </c:plotArea>
    <c:legend>
      <c:legendPos val="r"/>
      <c:overlay val="0"/>
      <c:spPr>
        <a:noFill/>
        <a:ln w="0">
          <a:noFill/>
          <a:prstDash val="solid"/>
        </a:ln>
      </c:spPr>
      <c:txPr>
        <a:bodyPr/>
        <a:lstStyle/>
        <a:p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endParaRPr lang="en-US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prstDash val="solid"/>
      <a:round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1"/>
  <c:style val="2"/>
  <c:chart>
    <c:title>
      <c:tx>
        <c:rich>
          <a:bodyPr rot="0"/>
          <a:lstStyle/>
          <a:p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en-AU" sz="1800" b="1" strike="noStrike" spc="-1">
                <a:solidFill>
                  <a:srgbClr val="000000"/>
                </a:solidFill>
                <a:latin typeface="Calibri"/>
              </a:rPr>
              <a:t>Cumulative Costs: Buying vs Renting</a:t>
            </a:r>
          </a:p>
        </c:rich>
      </c:tx>
      <c:overlay val="0"/>
      <c:spPr>
        <a:noFill/>
        <a:ln w="0">
          <a:noFill/>
          <a:prstDash val="solid"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'Year-by-Year Analysis'!$H$2</c:f>
              <c:strCache>
                <c:ptCount val="1"/>
                <c:pt idx="0">
                  <c:v>Total Buy Cost ($)</c:v>
                </c:pt>
              </c:strCache>
            </c:strRef>
          </c:tx>
          <c:spPr>
            <a:ln w="28080">
              <a:solidFill>
                <a:srgbClr val="E74C3C"/>
              </a:solidFill>
              <a:prstDash val="solid"/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endParaRPr lang="en-US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'Year-by-Year Analysis'!$A$3:$A$33</c:f>
              <c:numCache>
                <c:formatCode>General</c:formatCode>
                <c:ptCount val="3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</c:numCache>
            </c:numRef>
          </c:cat>
          <c:val>
            <c:numRef>
              <c:f>'Year-by-Year Analysis'!$H$3:$H$33</c:f>
              <c:numCache>
                <c:formatCode>\$#,##0</c:formatCode>
                <c:ptCount val="31"/>
                <c:pt idx="0">
                  <c:v>0</c:v>
                </c:pt>
                <c:pt idx="1">
                  <c:v>88623.757765883667</c:v>
                </c:pt>
                <c:pt idx="2">
                  <c:v>177471.54053176733</c:v>
                </c:pt>
                <c:pt idx="3">
                  <c:v>266550.06904765102</c:v>
                </c:pt>
                <c:pt idx="4">
                  <c:v>355866.26568603469</c:v>
                </c:pt>
                <c:pt idx="5">
                  <c:v>445427.26049059338</c:v>
                </c:pt>
                <c:pt idx="6">
                  <c:v>535240.39740631229</c:v>
                </c:pt>
                <c:pt idx="7">
                  <c:v>625313.24069652625</c:v>
                </c:pt>
                <c:pt idx="8">
                  <c:v>715653.58155247022</c:v>
                </c:pt>
                <c:pt idx="9">
                  <c:v>806269.44490111596</c:v>
                </c:pt>
                <c:pt idx="10">
                  <c:v>897169.09641724452</c:v>
                </c:pt>
                <c:pt idx="11">
                  <c:v>988361.04974588042</c:v>
                </c:pt>
                <c:pt idx="12">
                  <c:v>1079854.0739413989</c:v>
                </c:pt>
                <c:pt idx="13">
                  <c:v>1171657.2011298062</c:v>
                </c:pt>
                <c:pt idx="14">
                  <c:v>1263779.7344008894</c:v>
                </c:pt>
                <c:pt idx="15">
                  <c:v>1356231.2559371286</c:v>
                </c:pt>
                <c:pt idx="16">
                  <c:v>1449021.6353864784</c:v>
                </c:pt>
                <c:pt idx="17">
                  <c:v>1542161.0384863322</c:v>
                </c:pt>
                <c:pt idx="18">
                  <c:v>1635659.9359462052</c:v>
                </c:pt>
                <c:pt idx="19">
                  <c:v>1729529.1125968976</c:v>
                </c:pt>
                <c:pt idx="20">
                  <c:v>1823779.6768141345</c:v>
                </c:pt>
                <c:pt idx="21">
                  <c:v>1918423.0702249119</c:v>
                </c:pt>
                <c:pt idx="22">
                  <c:v>2013471.0777050362</c:v>
                </c:pt>
                <c:pt idx="23">
                  <c:v>2108935.8376765875</c:v>
                </c:pt>
                <c:pt idx="24">
                  <c:v>2204829.852714309</c:v>
                </c:pt>
                <c:pt idx="25">
                  <c:v>2301166.0004701857</c:v>
                </c:pt>
                <c:pt idx="26">
                  <c:v>2397957.5449257619</c:v>
                </c:pt>
                <c:pt idx="27">
                  <c:v>2495218.1479820292</c:v>
                </c:pt>
                <c:pt idx="28">
                  <c:v>2592961.881397008</c:v>
                </c:pt>
                <c:pt idx="29">
                  <c:v>2691203.2390814596</c:v>
                </c:pt>
                <c:pt idx="30">
                  <c:v>2789957.1497634682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8940-424C-A743-9F8E4795C2B8}"/>
            </c:ext>
          </c:extLst>
        </c:ser>
        <c:ser>
          <c:idx val="1"/>
          <c:order val="1"/>
          <c:tx>
            <c:strRef>
              <c:f>'Year-by-Year Analysis'!$K$2</c:f>
              <c:strCache>
                <c:ptCount val="1"/>
                <c:pt idx="0">
                  <c:v>Total Rent Cost ($)</c:v>
                </c:pt>
              </c:strCache>
            </c:strRef>
          </c:tx>
          <c:spPr>
            <a:ln w="28080">
              <a:solidFill>
                <a:srgbClr val="F39C12"/>
              </a:solidFill>
              <a:prstDash val="solid"/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endParaRPr lang="en-US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'Year-by-Year Analysis'!$A$3:$A$33</c:f>
              <c:numCache>
                <c:formatCode>General</c:formatCode>
                <c:ptCount val="3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</c:numCache>
            </c:numRef>
          </c:cat>
          <c:val>
            <c:numRef>
              <c:f>'Year-by-Year Analysis'!$K$3:$K$33</c:f>
              <c:numCache>
                <c:formatCode>\$#,##0</c:formatCode>
                <c:ptCount val="31"/>
                <c:pt idx="0">
                  <c:v>0</c:v>
                </c:pt>
                <c:pt idx="1">
                  <c:v>49900</c:v>
                </c:pt>
                <c:pt idx="2">
                  <c:v>101282</c:v>
                </c:pt>
                <c:pt idx="3">
                  <c:v>154190.46</c:v>
                </c:pt>
                <c:pt idx="4">
                  <c:v>208671.17379999999</c:v>
                </c:pt>
                <c:pt idx="5">
                  <c:v>264771.309014</c:v>
                </c:pt>
                <c:pt idx="6">
                  <c:v>322539.44828442001</c:v>
                </c:pt>
                <c:pt idx="7">
                  <c:v>382025.63173295261</c:v>
                </c:pt>
                <c:pt idx="8">
                  <c:v>443281.40068494121</c:v>
                </c:pt>
                <c:pt idx="9">
                  <c:v>506359.84270548943</c:v>
                </c:pt>
                <c:pt idx="10">
                  <c:v>571315.63798665407</c:v>
                </c:pt>
                <c:pt idx="11">
                  <c:v>638205.10712625366</c:v>
                </c:pt>
                <c:pt idx="12">
                  <c:v>707086.26034004125</c:v>
                </c:pt>
                <c:pt idx="13">
                  <c:v>778018.84815024247</c:v>
                </c:pt>
                <c:pt idx="14">
                  <c:v>851064.41359474976</c:v>
                </c:pt>
                <c:pt idx="15">
                  <c:v>926286.34600259224</c:v>
                </c:pt>
                <c:pt idx="16">
                  <c:v>1003749.93638267</c:v>
                </c:pt>
                <c:pt idx="17">
                  <c:v>1083522.43447415</c:v>
                </c:pt>
                <c:pt idx="18">
                  <c:v>1165673.1075083744</c:v>
                </c:pt>
                <c:pt idx="19">
                  <c:v>1250273.3007336257</c:v>
                </c:pt>
                <c:pt idx="20">
                  <c:v>1337396.4997556345</c:v>
                </c:pt>
                <c:pt idx="21">
                  <c:v>1427118.3947483036</c:v>
                </c:pt>
                <c:pt idx="22">
                  <c:v>1519516.9465907526</c:v>
                </c:pt>
                <c:pt idx="23">
                  <c:v>1614672.4549884752</c:v>
                </c:pt>
                <c:pt idx="24">
                  <c:v>1712667.6286381294</c:v>
                </c:pt>
                <c:pt idx="25">
                  <c:v>1813587.6574972733</c:v>
                </c:pt>
                <c:pt idx="26">
                  <c:v>1917520.2872221915</c:v>
                </c:pt>
                <c:pt idx="27">
                  <c:v>2024555.8958388572</c:v>
                </c:pt>
                <c:pt idx="28">
                  <c:v>2134787.5727140228</c:v>
                </c:pt>
                <c:pt idx="29">
                  <c:v>2248311.1998954434</c:v>
                </c:pt>
                <c:pt idx="30">
                  <c:v>2365225.5358923068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8940-424C-A743-9F8E4795C2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0">
              <a:noFill/>
              <a:prstDash val="solid"/>
            </a:ln>
          </c:spPr>
        </c:hiLowLines>
        <c:smooth val="0"/>
        <c:axId val="66271408"/>
        <c:axId val="18332942"/>
      </c:lineChart>
      <c:catAx>
        <c:axId val="66271408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lang="en-AU" sz="1000" b="1" strike="noStrike" spc="-1">
                    <a:solidFill>
                      <a:srgbClr val="000000"/>
                    </a:solidFill>
                    <a:latin typeface="Calibri"/>
                  </a:rPr>
                  <a:t>Year</a:t>
                </a:r>
              </a:p>
            </c:rich>
          </c:tx>
          <c:overlay val="0"/>
          <c:spPr>
            <a:noFill/>
            <a:ln w="0">
              <a:noFill/>
              <a:prstDash val="solid"/>
            </a:ln>
          </c:spPr>
        </c:title>
        <c:numFmt formatCode="General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prstDash val="solid"/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n-US"/>
          </a:p>
        </c:txPr>
        <c:crossAx val="18332942"/>
        <c:crosses val="autoZero"/>
        <c:auto val="1"/>
        <c:lblAlgn val="ctr"/>
        <c:lblOffset val="100"/>
        <c:noMultiLvlLbl val="0"/>
      </c:catAx>
      <c:valAx>
        <c:axId val="18332942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prstDash val="solid"/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lang="en-AU" sz="1000" b="1" strike="noStrike" spc="-1">
                    <a:solidFill>
                      <a:srgbClr val="000000"/>
                    </a:solidFill>
                    <a:latin typeface="Calibri"/>
                  </a:rPr>
                  <a:t>Total Cost ($)</a:t>
                </a:r>
              </a:p>
            </c:rich>
          </c:tx>
          <c:overlay val="0"/>
          <c:spPr>
            <a:noFill/>
            <a:ln w="0">
              <a:noFill/>
              <a:prstDash val="solid"/>
            </a:ln>
          </c:spPr>
        </c:title>
        <c:numFmt formatCode="\$#,##0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prstDash val="solid"/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n-US"/>
          </a:p>
        </c:txPr>
        <c:crossAx val="66271408"/>
        <c:crosses val="autoZero"/>
        <c:crossBetween val="between"/>
      </c:valAx>
    </c:plotArea>
    <c:legend>
      <c:legendPos val="r"/>
      <c:overlay val="0"/>
      <c:spPr>
        <a:noFill/>
        <a:ln w="0">
          <a:noFill/>
          <a:prstDash val="solid"/>
        </a:ln>
      </c:spPr>
      <c:txPr>
        <a:bodyPr/>
        <a:lstStyle/>
        <a:p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endParaRPr lang="en-US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prstDash val="solid"/>
      <a:round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1"/>
  <c:style val="2"/>
  <c:chart>
    <c:title>
      <c:tx>
        <c:rich>
          <a:bodyPr rot="0"/>
          <a:lstStyle/>
          <a:p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en-AU" sz="1800" b="1" strike="noStrike" spc="-1">
                <a:solidFill>
                  <a:srgbClr val="000000"/>
                </a:solidFill>
                <a:latin typeface="Calibri"/>
              </a:rPr>
              <a:t>Buy Advantage Over Time (Positive = Buy Wins)</a:t>
            </a:r>
          </a:p>
        </c:rich>
      </c:tx>
      <c:overlay val="0"/>
      <c:spPr>
        <a:noFill/>
        <a:ln w="0">
          <a:noFill/>
          <a:prstDash val="solid"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'Year-by-Year Analysis'!$N$2</c:f>
              <c:strCache>
                <c:ptCount val="1"/>
                <c:pt idx="0">
                  <c:v>Buy Advantage ($)</c:v>
                </c:pt>
              </c:strCache>
            </c:strRef>
          </c:tx>
          <c:spPr>
            <a:solidFill>
              <a:srgbClr val="4A90D9"/>
            </a:solidFill>
            <a:ln w="9360">
              <a:solidFill>
                <a:srgbClr val="F9F9F9"/>
              </a:solidFill>
              <a:prstDash val="solid"/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'Year-by-Year Analysis'!$A$3:$A$33</c:f>
              <c:numCache>
                <c:formatCode>General</c:formatCode>
                <c:ptCount val="3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</c:numCache>
            </c:numRef>
          </c:cat>
          <c:val>
            <c:numRef>
              <c:f>'Year-by-Year Analysis'!$N$3:$N$33</c:f>
              <c:numCache>
                <c:formatCode>\$#,##0</c:formatCode>
                <c:ptCount val="31"/>
                <c:pt idx="0">
                  <c:v>0</c:v>
                </c:pt>
                <c:pt idx="1">
                  <c:v>-53244.876727479743</c:v>
                </c:pt>
                <c:pt idx="2">
                  <c:v>-52385.382338267169</c:v>
                </c:pt>
                <c:pt idx="3">
                  <c:v>-50655.559540031245</c:v>
                </c:pt>
                <c:pt idx="4">
                  <c:v>-47985.253388705431</c:v>
                </c:pt>
                <c:pt idx="5">
                  <c:v>-44299.865624947124</c:v>
                </c:pt>
                <c:pt idx="6">
                  <c:v>-39520.09507882793</c:v>
                </c:pt>
                <c:pt idx="7">
                  <c:v>-33561.663360220729</c:v>
                </c:pt>
                <c:pt idx="8">
                  <c:v>-26335.025008366676</c:v>
                </c:pt>
                <c:pt idx="9">
                  <c:v>-17745.06122765108</c:v>
                </c:pt>
                <c:pt idx="10">
                  <c:v>-7690.7562875389121</c:v>
                </c:pt>
                <c:pt idx="11">
                  <c:v>3935.1443872437812</c:v>
                </c:pt>
                <c:pt idx="12">
                  <c:v>17246.495464971522</c:v>
                </c:pt>
                <c:pt idx="13">
                  <c:v>32364.133380208397</c:v>
                </c:pt>
                <c:pt idx="14">
                  <c:v>49416.279579858528</c:v>
                </c:pt>
                <c:pt idx="15">
                  <c:v>68538.966554339277</c:v>
                </c:pt>
                <c:pt idx="16">
                  <c:v>89876.487934512552</c:v>
                </c:pt>
                <c:pt idx="17">
                  <c:v>113581.87400715868</c:v>
                </c:pt>
                <c:pt idx="18">
                  <c:v>139817.3940779923</c:v>
                </c:pt>
                <c:pt idx="19">
                  <c:v>168755.08719180524</c:v>
                </c:pt>
                <c:pt idx="20">
                  <c:v>200577.32280439115</c:v>
                </c:pt>
                <c:pt idx="21">
                  <c:v>235477.3930908991</c:v>
                </c:pt>
                <c:pt idx="22">
                  <c:v>273660.13867026241</c:v>
                </c:pt>
                <c:pt idx="23">
                  <c:v>315342.60962584009</c:v>
                </c:pt>
                <c:pt idx="24">
                  <c:v>358653.60519655747</c:v>
                </c:pt>
                <c:pt idx="25">
                  <c:v>403360.61266778363</c:v>
                </c:pt>
                <c:pt idx="26">
                  <c:v>449531.20104200998</c:v>
                </c:pt>
                <c:pt idx="27">
                  <c:v>497237.3821700504</c:v>
                </c:pt>
                <c:pt idx="28">
                  <c:v>546555.92712425347</c:v>
                </c:pt>
                <c:pt idx="29">
                  <c:v>597568.70469311532</c:v>
                </c:pt>
                <c:pt idx="30">
                  <c:v>650363.0434885351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85-614F-AD86-FB485A62CD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612593"/>
        <c:axId val="77186300"/>
      </c:barChart>
      <c:catAx>
        <c:axId val="94612593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lang="en-AU" sz="1000" b="1" strike="noStrike" spc="-1">
                    <a:solidFill>
                      <a:srgbClr val="000000"/>
                    </a:solidFill>
                    <a:latin typeface="Calibri"/>
                  </a:rPr>
                  <a:t>Year</a:t>
                </a:r>
              </a:p>
            </c:rich>
          </c:tx>
          <c:overlay val="0"/>
          <c:spPr>
            <a:noFill/>
            <a:ln w="0">
              <a:noFill/>
              <a:prstDash val="solid"/>
            </a:ln>
          </c:spPr>
        </c:title>
        <c:numFmt formatCode="General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prstDash val="solid"/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n-US"/>
          </a:p>
        </c:txPr>
        <c:crossAx val="77186300"/>
        <c:crosses val="autoZero"/>
        <c:auto val="1"/>
        <c:lblAlgn val="ctr"/>
        <c:lblOffset val="100"/>
        <c:noMultiLvlLbl val="0"/>
      </c:catAx>
      <c:valAx>
        <c:axId val="77186300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prstDash val="solid"/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lang="en-AU" sz="1000" b="1" strike="noStrike" spc="-1">
                    <a:solidFill>
                      <a:srgbClr val="000000"/>
                    </a:solidFill>
                    <a:latin typeface="Calibri"/>
                  </a:rPr>
                  <a:t>Net Advantage ($)</a:t>
                </a:r>
              </a:p>
            </c:rich>
          </c:tx>
          <c:overlay val="0"/>
          <c:spPr>
            <a:noFill/>
            <a:ln w="0">
              <a:noFill/>
              <a:prstDash val="solid"/>
            </a:ln>
          </c:spPr>
        </c:title>
        <c:numFmt formatCode="\$#,##0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prstDash val="solid"/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n-US"/>
          </a:p>
        </c:txPr>
        <c:crossAx val="94612593"/>
        <c:crosses val="autoZero"/>
        <c:crossBetween val="between"/>
      </c:valAx>
    </c:plotArea>
    <c:legend>
      <c:legendPos val="r"/>
      <c:overlay val="0"/>
      <c:spPr>
        <a:noFill/>
        <a:ln w="0">
          <a:noFill/>
          <a:prstDash val="solid"/>
        </a:ln>
      </c:spPr>
      <c:txPr>
        <a:bodyPr/>
        <a:lstStyle/>
        <a:p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endParaRPr lang="en-US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prstDash val="solid"/>
      <a:round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1"/>
  <c:style val="2"/>
  <c:chart>
    <c:title>
      <c:tx>
        <c:rich>
          <a:bodyPr rot="0"/>
          <a:lstStyle/>
          <a:p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sz="1800" b="1" strike="noStrike" spc="-1">
                <a:solidFill>
                  <a:srgbClr val="000000"/>
                </a:solidFill>
                <a:latin typeface="Calibri"/>
              </a:rPr>
              <a:t>Property Equity Growth Over 30 Years</a:t>
            </a:r>
          </a:p>
        </c:rich>
      </c:tx>
      <c:overlay val="0"/>
      <c:spPr>
        <a:noFill/>
        <a:ln w="0">
          <a:noFill/>
          <a:prstDash val="solid"/>
        </a:ln>
      </c:spPr>
    </c:title>
    <c:autoTitleDeleted val="0"/>
    <c:plotArea>
      <c:layout/>
      <c:areaChart>
        <c:grouping val="standard"/>
        <c:varyColors val="1"/>
        <c:ser>
          <c:idx val="0"/>
          <c:order val="0"/>
          <c:tx>
            <c:strRef>
              <c:f>'Long-term Equity View'!$D$15</c:f>
              <c:strCache>
                <c:ptCount val="1"/>
                <c:pt idx="0">
                  <c:v>Equity ($)</c:v>
                </c:pt>
              </c:strCache>
            </c:strRef>
          </c:tx>
          <c:spPr>
            <a:solidFill>
              <a:srgbClr val="27AE60"/>
            </a:solidFill>
            <a:ln w="9360">
              <a:solidFill>
                <a:srgbClr val="27AE60"/>
              </a:solidFill>
              <a:prstDash val="solid"/>
              <a:round/>
            </a:ln>
          </c:spP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'Long-term Equity View'!$A$16:$A$45</c:f>
              <c:numCache>
                <c:formatCode>General</c:formatCode>
                <c:ptCount val="3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</c:numCache>
            </c:numRef>
          </c:cat>
          <c:val>
            <c:numRef>
              <c:f>'Long-term Equity View'!$D$16:$D$45</c:f>
              <c:numCache>
                <c:formatCode>\$#,##0</c:formatCode>
                <c:ptCount val="30"/>
                <c:pt idx="0">
                  <c:v>419989.88103840384</c:v>
                </c:pt>
                <c:pt idx="1">
                  <c:v>479610.72229296481</c:v>
                </c:pt>
                <c:pt idx="2">
                  <c:v>541450.4383154898</c:v>
                </c:pt>
                <c:pt idx="3">
                  <c:v>605600.9972086976</c:v>
                </c:pt>
                <c:pt idx="4">
                  <c:v>672158.62583989766</c:v>
                </c:pt>
                <c:pt idx="5">
                  <c:v>741224.02614723379</c:v>
                </c:pt>
                <c:pt idx="6">
                  <c:v>812902.60316269507</c:v>
                </c:pt>
                <c:pt idx="7">
                  <c:v>887304.70541203558</c:v>
                </c:pt>
                <c:pt idx="8">
                  <c:v>964545.87838976667</c:v>
                </c:pt>
                <c:pt idx="9">
                  <c:v>1044747.1318476265</c:v>
                </c:pt>
                <c:pt idx="10">
                  <c:v>1128035.221677528</c:v>
                </c:pt>
                <c:pt idx="11">
                  <c:v>1214542.9472150493</c:v>
                </c:pt>
                <c:pt idx="12">
                  <c:v>1304409.4648372459</c:v>
                </c:pt>
                <c:pt idx="13">
                  <c:v>1397780.6187790385</c:v>
                </c:pt>
                <c:pt idx="14">
                  <c:v>1494809.2901458789</c:v>
                </c:pt>
                <c:pt idx="15">
                  <c:v>1595655.7651569436</c:v>
                </c:pt>
                <c:pt idx="16">
                  <c:v>1700488.1237129727</c:v>
                </c:pt>
                <c:pt idx="17">
                  <c:v>1809482.6494462164</c:v>
                </c:pt>
                <c:pt idx="18">
                  <c:v>1922824.2624770408</c:v>
                </c:pt>
                <c:pt idx="19">
                  <c:v>2040706.9761726903</c:v>
                </c:pt>
                <c:pt idx="20">
                  <c:v>2163334.3792788801</c:v>
                </c:pt>
                <c:pt idx="21">
                  <c:v>2290920.1448743776</c:v>
                </c:pt>
                <c:pt idx="22">
                  <c:v>2423688.5676829694</c:v>
                </c:pt>
                <c:pt idx="23">
                  <c:v>2561875.1313662576</c:v>
                </c:pt>
                <c:pt idx="24">
                  <c:v>2705727.1075151199</c:v>
                </c:pt>
                <c:pt idx="25">
                  <c:v>2855504.1881574765</c:v>
                </c:pt>
                <c:pt idx="26">
                  <c:v>3011479.1537057129</c:v>
                </c:pt>
                <c:pt idx="27">
                  <c:v>3173938.5783790206</c:v>
                </c:pt>
                <c:pt idx="28">
                  <c:v>3343183.5752543467</c:v>
                </c:pt>
                <c:pt idx="29">
                  <c:v>3519530.5832250216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96-4342-B126-A86D572818A3}"/>
            </c:ext>
          </c:extLst>
        </c:ser>
        <c:ser>
          <c:idx val="1"/>
          <c:order val="1"/>
          <c:tx>
            <c:strRef>
              <c:f>'Long-term Equity View'!$C$15</c:f>
              <c:strCache>
                <c:ptCount val="1"/>
                <c:pt idx="0">
                  <c:v>Loan Balance</c:v>
                </c:pt>
              </c:strCache>
            </c:strRef>
          </c:tx>
          <c:spPr>
            <a:solidFill>
              <a:srgbClr val="E74C3C"/>
            </a:solidFill>
            <a:ln w="9360">
              <a:solidFill>
                <a:srgbClr val="E74C3C"/>
              </a:solidFill>
              <a:prstDash val="solid"/>
              <a:round/>
            </a:ln>
          </c:spP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'Long-term Equity View'!$A$16:$A$45</c:f>
              <c:numCache>
                <c:formatCode>General</c:formatCode>
                <c:ptCount val="3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</c:numCache>
            </c:numRef>
          </c:cat>
          <c:val>
            <c:numRef>
              <c:f>'Long-term Equity View'!$C$16:$C$45</c:f>
              <c:numCache>
                <c:formatCode>\$#,##0</c:formatCode>
                <c:ptCount val="30"/>
                <c:pt idx="0">
                  <c:v>1073510.1189615962</c:v>
                </c:pt>
                <c:pt idx="1">
                  <c:v>1058694.2777070352</c:v>
                </c:pt>
                <c:pt idx="2">
                  <c:v>1043003.7116845103</c:v>
                </c:pt>
                <c:pt idx="3">
                  <c:v>1026386.7772913027</c:v>
                </c:pt>
                <c:pt idx="4">
                  <c:v>1008788.7818951027</c:v>
                </c:pt>
                <c:pt idx="5">
                  <c:v>990151.80381981656</c:v>
                </c:pt>
                <c:pt idx="6">
                  <c:v>970414.50170336675</c:v>
                </c:pt>
                <c:pt idx="7">
                  <c:v>949511.91260000807</c:v>
                </c:pt>
                <c:pt idx="8">
                  <c:v>927375.23816263839</c:v>
                </c:pt>
                <c:pt idx="9">
                  <c:v>903931.61820135079</c:v>
                </c:pt>
                <c:pt idx="10">
                  <c:v>879103.89087291877</c:v>
                </c:pt>
                <c:pt idx="11">
                  <c:v>852810.33871191088</c:v>
                </c:pt>
                <c:pt idx="12">
                  <c:v>824964.41966752312</c:v>
                </c:pt>
                <c:pt idx="13">
                  <c:v>795474.48226087354</c:v>
                </c:pt>
                <c:pt idx="14">
                  <c:v>764243.46392523055</c:v>
                </c:pt>
                <c:pt idx="15">
                  <c:v>731168.57153629907</c:v>
                </c:pt>
                <c:pt idx="16">
                  <c:v>696140.94308106741</c:v>
                </c:pt>
                <c:pt idx="17">
                  <c:v>659045.28935164493</c:v>
                </c:pt>
                <c:pt idx="18">
                  <c:v>619759.51448475663</c:v>
                </c:pt>
                <c:pt idx="19">
                  <c:v>578154.31409796095</c:v>
                </c:pt>
                <c:pt idx="20">
                  <c:v>534092.74969989061</c:v>
                </c:pt>
                <c:pt idx="21">
                  <c:v>487429.79797375621</c:v>
                </c:pt>
                <c:pt idx="22">
                  <c:v>438011.87345060846</c:v>
                </c:pt>
                <c:pt idx="23">
                  <c:v>385676.32300132792</c:v>
                </c:pt>
                <c:pt idx="24">
                  <c:v>330250.89048349299</c:v>
                </c:pt>
                <c:pt idx="25">
                  <c:v>271553.14978109486</c:v>
                </c:pt>
                <c:pt idx="26">
                  <c:v>209389.90437101573</c:v>
                </c:pt>
                <c:pt idx="27">
                  <c:v>143556.55144000985</c:v>
                </c:pt>
                <c:pt idx="28">
                  <c:v>73836.408459254541</c:v>
                </c:pt>
                <c:pt idx="29">
                  <c:v>-1.2107193470001221E-8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896-4342-B126-A86D572818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"/>
        <c:axId val="100"/>
      </c:areaChart>
      <c:catAx>
        <c:axId val="10"/>
        <c:scaling>
          <c:orientation val="minMax"/>
        </c:scaling>
        <c:delete val="1"/>
        <c:axPos val="b"/>
        <c:numFmt formatCode="General" sourceLinked="0"/>
        <c:majorTickMark val="none"/>
        <c:minorTickMark val="none"/>
        <c:tickLblPos val="nextTo"/>
        <c:crossAx val="100"/>
        <c:crosses val="autoZero"/>
        <c:auto val="1"/>
        <c:lblAlgn val="ctr"/>
        <c:lblOffset val="100"/>
        <c:noMultiLvlLbl val="1"/>
      </c:catAx>
      <c:valAx>
        <c:axId val="100"/>
        <c:scaling>
          <c:orientation val="minMax"/>
        </c:scaling>
        <c:delete val="1"/>
        <c:axPos val="l"/>
        <c:majorGridlines/>
        <c:numFmt formatCode="\$#,##0" sourceLinked="1"/>
        <c:majorTickMark val="none"/>
        <c:minorTickMark val="none"/>
        <c:tickLblPos val="nextTo"/>
        <c:crossAx val="10"/>
        <c:crosses val="autoZero"/>
        <c:crossBetween val="midCat"/>
      </c:valAx>
    </c:plotArea>
    <c:legend>
      <c:legendPos val="r"/>
      <c:overlay val="0"/>
      <c:spPr>
        <a:noFill/>
        <a:ln w="0">
          <a:noFill/>
          <a:prstDash val="solid"/>
        </a:ln>
      </c:spPr>
      <c:txPr>
        <a:bodyPr/>
        <a:lstStyle/>
        <a:p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endParaRPr lang="en-US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prstDash val="solid"/>
      <a:round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1"/>
  <c:style val="2"/>
  <c:chart>
    <c:title>
      <c:tx>
        <c:rich>
          <a:bodyPr rot="0"/>
          <a:lstStyle/>
          <a:p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sz="1800" b="1" strike="noStrike" spc="-1">
                <a:solidFill>
                  <a:srgbClr val="000000"/>
                </a:solidFill>
                <a:latin typeface="Calibri"/>
              </a:rPr>
              <a:t>Equity as % of Property Value</a:t>
            </a:r>
          </a:p>
        </c:rich>
      </c:tx>
      <c:overlay val="0"/>
      <c:spPr>
        <a:noFill/>
        <a:ln w="0">
          <a:noFill/>
          <a:prstDash val="solid"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'Long-term Equity View'!$E$15</c:f>
              <c:strCache>
                <c:ptCount val="1"/>
                <c:pt idx="0">
                  <c:v>Equity (%)</c:v>
                </c:pt>
              </c:strCache>
            </c:strRef>
          </c:tx>
          <c:spPr>
            <a:ln w="29880">
              <a:solidFill>
                <a:srgbClr val="4A90D9"/>
              </a:solidFill>
              <a:prstDash val="solid"/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'Long-term Equity View'!$A$16:$A$45</c:f>
              <c:numCache>
                <c:formatCode>General</c:formatCode>
                <c:ptCount val="3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</c:numCache>
            </c:numRef>
          </c:cat>
          <c:val>
            <c:numRef>
              <c:f>'Long-term Equity View'!$E$16:$E$45</c:f>
              <c:numCache>
                <c:formatCode>0.0%</c:formatCode>
                <c:ptCount val="30"/>
                <c:pt idx="0">
                  <c:v>0.28121183865979499</c:v>
                </c:pt>
                <c:pt idx="1">
                  <c:v>0.3117786929724371</c:v>
                </c:pt>
                <c:pt idx="2">
                  <c:v>0.34172679488105712</c:v>
                </c:pt>
                <c:pt idx="3">
                  <c:v>0.37108182222396757</c:v>
                </c:pt>
                <c:pt idx="4">
                  <c:v>0.39986892079247183</c:v>
                </c:pt>
                <c:pt idx="5">
                  <c:v>0.42811272591309074</c:v>
                </c:pt>
                <c:pt idx="6">
                  <c:v>0.4558373835727601</c:v>
                </c:pt>
                <c:pt idx="7">
                  <c:v>0.48306657110514978</c:v>
                </c:pt>
                <c:pt idx="8">
                  <c:v>0.50982351745586074</c:v>
                </c:pt>
                <c:pt idx="9">
                  <c:v>0.5361310230438795</c:v>
                </c:pt>
                <c:pt idx="10">
                  <c:v>0.56201147923630845</c:v>
                </c:pt>
                <c:pt idx="11">
                  <c:v>0.58748688745304234</c:v>
                </c:pt>
                <c:pt idx="12">
                  <c:v>0.61257887791772836</c:v>
                </c:pt>
                <c:pt idx="13">
                  <c:v>0.63730872807102712</c:v>
                </c:pt>
                <c:pt idx="14">
                  <c:v>0.66169738066188866</c:v>
                </c:pt>
                <c:pt idx="15">
                  <c:v>0.68576546153226314</c:v>
                </c:pt>
                <c:pt idx="16">
                  <c:v>0.70953329711039015</c:v>
                </c:pt>
                <c:pt idx="17">
                  <c:v>0.73302093162753879</c:v>
                </c:pt>
                <c:pt idx="18">
                  <c:v>0.75624814407282814</c:v>
                </c:pt>
                <c:pt idx="19">
                  <c:v>0.77923446490050241</c:v>
                </c:pt>
                <c:pt idx="20">
                  <c:v>0.80199919250382312</c:v>
                </c:pt>
                <c:pt idx="21">
                  <c:v>0.82456140946950562</c:v>
                </c:pt>
                <c:pt idx="22">
                  <c:v>0.84693999862644498</c:v>
                </c:pt>
                <c:pt idx="23">
                  <c:v>0.8691536589022576</c:v>
                </c:pt>
                <c:pt idx="24">
                  <c:v>0.89122092100100792</c:v>
                </c:pt>
                <c:pt idx="25">
                  <c:v>0.913160162915302</c:v>
                </c:pt>
                <c:pt idx="26">
                  <c:v>0.93498962528577667</c:v>
                </c:pt>
                <c:pt idx="27">
                  <c:v>0.95672742662086718</c:v>
                </c:pt>
                <c:pt idx="28">
                  <c:v>0.97839157838959745</c:v>
                </c:pt>
                <c:pt idx="29">
                  <c:v>1.0000000000000033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21D5-3B4F-B6FB-C8AEA17CD1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0">
              <a:noFill/>
              <a:prstDash val="solid"/>
            </a:ln>
          </c:spPr>
        </c:hiLowLines>
        <c:smooth val="0"/>
        <c:axId val="49437729"/>
        <c:axId val="33817637"/>
      </c:lineChart>
      <c:catAx>
        <c:axId val="49437729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sz="1000" b="1" strike="noStrike" spc="-1">
                    <a:solidFill>
                      <a:srgbClr val="000000"/>
                    </a:solidFill>
                    <a:latin typeface="Calibri"/>
                  </a:rPr>
                  <a:t>Year</a:t>
                </a:r>
              </a:p>
            </c:rich>
          </c:tx>
          <c:overlay val="0"/>
          <c:spPr>
            <a:noFill/>
            <a:ln w="0">
              <a:noFill/>
              <a:prstDash val="solid"/>
            </a:ln>
          </c:spPr>
        </c:title>
        <c:numFmt formatCode="General" sourceLinked="1"/>
        <c:majorTickMark val="none"/>
        <c:minorTickMark val="none"/>
        <c:tickLblPos val="nextTo"/>
        <c:spPr>
          <a:ln w="0">
            <a:solidFill>
              <a:srgbClr val="B3B3B3"/>
            </a:solidFill>
            <a:prstDash val="solid"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n-US"/>
          </a:p>
        </c:txPr>
        <c:crossAx val="33817637"/>
        <c:crosses val="autoZero"/>
        <c:auto val="1"/>
        <c:lblAlgn val="ctr"/>
        <c:lblOffset val="100"/>
        <c:noMultiLvlLbl val="0"/>
      </c:catAx>
      <c:valAx>
        <c:axId val="33817637"/>
        <c:scaling>
          <c:orientation val="minMax"/>
        </c:scaling>
        <c:delete val="0"/>
        <c:axPos val="l"/>
        <c:majorGridlines>
          <c:spPr>
            <a:ln w="0">
              <a:solidFill>
                <a:srgbClr val="B3B3B3"/>
              </a:solidFill>
              <a:prstDash val="solid"/>
            </a:ln>
          </c:spPr>
        </c:majorGridlines>
        <c:title>
          <c:tx>
            <c:rich>
              <a:bodyPr rot="-5400000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sz="1000" b="1" strike="noStrike" spc="-1">
                    <a:solidFill>
                      <a:srgbClr val="000000"/>
                    </a:solidFill>
                    <a:latin typeface="Calibri"/>
                  </a:rPr>
                  <a:t>Equity %</a:t>
                </a:r>
              </a:p>
            </c:rich>
          </c:tx>
          <c:overlay val="0"/>
          <c:spPr>
            <a:noFill/>
            <a:ln w="0">
              <a:noFill/>
              <a:prstDash val="solid"/>
            </a:ln>
          </c:spPr>
        </c:title>
        <c:numFmt formatCode="0%" sourceLinked="0"/>
        <c:majorTickMark val="none"/>
        <c:minorTickMark val="none"/>
        <c:tickLblPos val="nextTo"/>
        <c:spPr>
          <a:ln w="0">
            <a:solidFill>
              <a:srgbClr val="B3B3B3"/>
            </a:solidFill>
            <a:prstDash val="solid"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n-US"/>
          </a:p>
        </c:txPr>
        <c:crossAx val="49437729"/>
        <c:crosses val="autoZero"/>
        <c:crossBetween val="between"/>
      </c:valAx>
    </c:plotArea>
    <c:legend>
      <c:legendPos val="r"/>
      <c:overlay val="0"/>
      <c:spPr>
        <a:noFill/>
        <a:ln w="0">
          <a:noFill/>
          <a:prstDash val="solid"/>
        </a:ln>
      </c:spPr>
      <c:txPr>
        <a:bodyPr/>
        <a:lstStyle/>
        <a:p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endParaRPr lang="en-US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prstDash val="solid"/>
      <a:round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1"/>
  <c:style val="2"/>
  <c:chart>
    <c:title>
      <c:tx>
        <c:rich>
          <a:bodyPr rot="0"/>
          <a:lstStyle/>
          <a:p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sz="1800" b="1" strike="noStrike" spc="-1">
                <a:solidFill>
                  <a:srgbClr val="000000"/>
                </a:solidFill>
                <a:latin typeface="Calibri"/>
              </a:rPr>
              <a:t>Cumulative Principal vs Interest Paid</a:t>
            </a:r>
          </a:p>
        </c:rich>
      </c:tx>
      <c:overlay val="0"/>
      <c:spPr>
        <a:noFill/>
        <a:ln w="0">
          <a:noFill/>
          <a:prstDash val="solid"/>
        </a:ln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'Long-term Equity View'!$H$15</c:f>
              <c:strCache>
                <c:ptCount val="1"/>
                <c:pt idx="0">
                  <c:v>Cumulative
Principal</c:v>
                </c:pt>
              </c:strCache>
            </c:strRef>
          </c:tx>
          <c:spPr>
            <a:solidFill>
              <a:srgbClr val="27AE60"/>
            </a:solidFill>
            <a:ln w="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'Long-term Equity View'!$A$16:$A$45</c:f>
              <c:numCache>
                <c:formatCode>General</c:formatCode>
                <c:ptCount val="3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</c:numCache>
            </c:numRef>
          </c:cat>
          <c:val>
            <c:numRef>
              <c:f>'Long-term Equity View'!$H$16:$H$45</c:f>
              <c:numCache>
                <c:formatCode>\$#,##0</c:formatCode>
                <c:ptCount val="30"/>
                <c:pt idx="0">
                  <c:v>13989.881038403837</c:v>
                </c:pt>
                <c:pt idx="1">
                  <c:v>28805.722292964812</c:v>
                </c:pt>
                <c:pt idx="2">
                  <c:v>44496.288315489655</c:v>
                </c:pt>
                <c:pt idx="3">
                  <c:v>61113.222708697314</c:v>
                </c:pt>
                <c:pt idx="4">
                  <c:v>78711.2181048973</c:v>
                </c:pt>
                <c:pt idx="5">
                  <c:v>97348.19618018344</c:v>
                </c:pt>
                <c:pt idx="6">
                  <c:v>117085.49829663325</c:v>
                </c:pt>
                <c:pt idx="7">
                  <c:v>137988.08739999193</c:v>
                </c:pt>
                <c:pt idx="8">
                  <c:v>160124.76183736161</c:v>
                </c:pt>
                <c:pt idx="9">
                  <c:v>183568.38179864921</c:v>
                </c:pt>
                <c:pt idx="10">
                  <c:v>208396.10912708123</c:v>
                </c:pt>
                <c:pt idx="11">
                  <c:v>234689.66128808912</c:v>
                </c:pt>
                <c:pt idx="12">
                  <c:v>262535.58033247688</c:v>
                </c:pt>
                <c:pt idx="13">
                  <c:v>292025.51773912646</c:v>
                </c:pt>
                <c:pt idx="14">
                  <c:v>323256.53607476945</c:v>
                </c:pt>
                <c:pt idx="15">
                  <c:v>356331.42846370093</c:v>
                </c:pt>
                <c:pt idx="16">
                  <c:v>391359.05691893259</c:v>
                </c:pt>
                <c:pt idx="17">
                  <c:v>428454.71064835507</c:v>
                </c:pt>
                <c:pt idx="18">
                  <c:v>467740.48551524337</c:v>
                </c:pt>
                <c:pt idx="19">
                  <c:v>509345.68590203905</c:v>
                </c:pt>
                <c:pt idx="20">
                  <c:v>553407.25030010939</c:v>
                </c:pt>
                <c:pt idx="21">
                  <c:v>600070.20202624379</c:v>
                </c:pt>
                <c:pt idx="22">
                  <c:v>649488.12654939154</c:v>
                </c:pt>
                <c:pt idx="23">
                  <c:v>701823.67699867208</c:v>
                </c:pt>
                <c:pt idx="24">
                  <c:v>757249.10951650701</c:v>
                </c:pt>
                <c:pt idx="25">
                  <c:v>815946.85021890514</c:v>
                </c:pt>
                <c:pt idx="26">
                  <c:v>878110.09562898427</c:v>
                </c:pt>
                <c:pt idx="27">
                  <c:v>943943.44855999015</c:v>
                </c:pt>
                <c:pt idx="28">
                  <c:v>1013663.5915407455</c:v>
                </c:pt>
                <c:pt idx="29">
                  <c:v>1087500.0000000121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70-F547-8F40-75E716232460}"/>
            </c:ext>
          </c:extLst>
        </c:ser>
        <c:ser>
          <c:idx val="1"/>
          <c:order val="1"/>
          <c:tx>
            <c:strRef>
              <c:f>'Long-term Equity View'!$I$15</c:f>
              <c:strCache>
                <c:ptCount val="1"/>
                <c:pt idx="0">
                  <c:v>Cumulative
Interest</c:v>
                </c:pt>
              </c:strCache>
            </c:strRef>
          </c:tx>
          <c:spPr>
            <a:solidFill>
              <a:srgbClr val="E74C3C"/>
            </a:solidFill>
            <a:ln w="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'Long-term Equity View'!$A$16:$A$45</c:f>
              <c:numCache>
                <c:formatCode>General</c:formatCode>
                <c:ptCount val="3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</c:numCache>
            </c:numRef>
          </c:cat>
          <c:val>
            <c:numRef>
              <c:f>'Long-term Equity View'!$I$16:$I$45</c:f>
              <c:numCache>
                <c:formatCode>\$#,##0</c:formatCode>
                <c:ptCount val="30"/>
                <c:pt idx="0">
                  <c:v>62166.37672747983</c:v>
                </c:pt>
                <c:pt idx="1">
                  <c:v>123506.79323880252</c:v>
                </c:pt>
                <c:pt idx="2">
                  <c:v>183972.48498216135</c:v>
                </c:pt>
                <c:pt idx="3">
                  <c:v>243511.80835483735</c:v>
                </c:pt>
                <c:pt idx="4">
                  <c:v>302070.07072452107</c:v>
                </c:pt>
                <c:pt idx="5">
                  <c:v>359589.35041511862</c:v>
                </c:pt>
                <c:pt idx="6">
                  <c:v>416008.30606455251</c:v>
                </c:pt>
                <c:pt idx="7">
                  <c:v>471261.97472707753</c:v>
                </c:pt>
                <c:pt idx="8">
                  <c:v>525281.55805559154</c:v>
                </c:pt>
                <c:pt idx="9">
                  <c:v>577994.19586018764</c:v>
                </c:pt>
                <c:pt idx="10">
                  <c:v>629322.72629763931</c:v>
                </c:pt>
                <c:pt idx="11">
                  <c:v>679185.43190251512</c:v>
                </c:pt>
                <c:pt idx="12">
                  <c:v>727495.77062401106</c:v>
                </c:pt>
                <c:pt idx="13">
                  <c:v>774162.09098324517</c:v>
                </c:pt>
                <c:pt idx="14">
                  <c:v>819087.33041348588</c:v>
                </c:pt>
                <c:pt idx="15">
                  <c:v>862168.6957904381</c:v>
                </c:pt>
                <c:pt idx="16">
                  <c:v>903297.32510109013</c:v>
                </c:pt>
                <c:pt idx="17">
                  <c:v>942357.92913755134</c:v>
                </c:pt>
                <c:pt idx="18">
                  <c:v>979228.41203654674</c:v>
                </c:pt>
                <c:pt idx="19">
                  <c:v>1013779.4694156348</c:v>
                </c:pt>
                <c:pt idx="20">
                  <c:v>1045874.1627834481</c:v>
                </c:pt>
                <c:pt idx="21">
                  <c:v>1075367.4688231973</c:v>
                </c:pt>
                <c:pt idx="22">
                  <c:v>1102105.8020659331</c:v>
                </c:pt>
                <c:pt idx="23">
                  <c:v>1125926.5093825362</c:v>
                </c:pt>
                <c:pt idx="24">
                  <c:v>1146657.3346305848</c:v>
                </c:pt>
                <c:pt idx="25">
                  <c:v>1164115.8516940703</c:v>
                </c:pt>
                <c:pt idx="26">
                  <c:v>1178108.8640498747</c:v>
                </c:pt>
                <c:pt idx="27">
                  <c:v>1188431.7688847524</c:v>
                </c:pt>
                <c:pt idx="28">
                  <c:v>1194867.8836698807</c:v>
                </c:pt>
                <c:pt idx="29">
                  <c:v>1197187.7329764976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370-F547-8F40-75E7162324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554137"/>
        <c:axId val="1912477"/>
      </c:barChart>
      <c:catAx>
        <c:axId val="15554137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sz="1000" b="1" strike="noStrike" spc="-1">
                    <a:solidFill>
                      <a:srgbClr val="000000"/>
                    </a:solidFill>
                    <a:latin typeface="Calibri"/>
                  </a:rPr>
                  <a:t>Year</a:t>
                </a:r>
              </a:p>
            </c:rich>
          </c:tx>
          <c:overlay val="0"/>
          <c:spPr>
            <a:noFill/>
            <a:ln w="0">
              <a:noFill/>
              <a:prstDash val="solid"/>
            </a:ln>
          </c:spPr>
        </c:title>
        <c:numFmt formatCode="General" sourceLinked="1"/>
        <c:majorTickMark val="none"/>
        <c:minorTickMark val="none"/>
        <c:tickLblPos val="nextTo"/>
        <c:spPr>
          <a:ln w="0">
            <a:solidFill>
              <a:srgbClr val="B3B3B3"/>
            </a:solidFill>
            <a:prstDash val="solid"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n-US"/>
          </a:p>
        </c:txPr>
        <c:crossAx val="1912477"/>
        <c:crosses val="autoZero"/>
        <c:auto val="1"/>
        <c:lblAlgn val="ctr"/>
        <c:lblOffset val="100"/>
        <c:noMultiLvlLbl val="0"/>
      </c:catAx>
      <c:valAx>
        <c:axId val="1912477"/>
        <c:scaling>
          <c:orientation val="minMax"/>
        </c:scaling>
        <c:delete val="0"/>
        <c:axPos val="l"/>
        <c:majorGridlines>
          <c:spPr>
            <a:ln w="0">
              <a:solidFill>
                <a:srgbClr val="B3B3B3"/>
              </a:solidFill>
              <a:prstDash val="solid"/>
            </a:ln>
          </c:spPr>
        </c:majorGridlines>
        <c:title>
          <c:tx>
            <c:rich>
              <a:bodyPr rot="-5400000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sz="1000" b="1" strike="noStrike" spc="-1">
                    <a:solidFill>
                      <a:srgbClr val="000000"/>
                    </a:solidFill>
                    <a:latin typeface="Calibri"/>
                  </a:rPr>
                  <a:t>Cumulative Amount ($)</a:t>
                </a:r>
              </a:p>
            </c:rich>
          </c:tx>
          <c:overlay val="0"/>
          <c:spPr>
            <a:noFill/>
            <a:ln w="0">
              <a:noFill/>
              <a:prstDash val="solid"/>
            </a:ln>
          </c:spPr>
        </c:title>
        <c:numFmt formatCode="\$#,##0" sourceLinked="0"/>
        <c:majorTickMark val="none"/>
        <c:minorTickMark val="none"/>
        <c:tickLblPos val="nextTo"/>
        <c:spPr>
          <a:ln w="0">
            <a:solidFill>
              <a:srgbClr val="B3B3B3"/>
            </a:solidFill>
            <a:prstDash val="solid"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n-US"/>
          </a:p>
        </c:txPr>
        <c:crossAx val="15554137"/>
        <c:crosses val="autoZero"/>
        <c:crossBetween val="between"/>
      </c:valAx>
    </c:plotArea>
    <c:legend>
      <c:legendPos val="r"/>
      <c:overlay val="0"/>
      <c:spPr>
        <a:noFill/>
        <a:ln w="0">
          <a:noFill/>
          <a:prstDash val="solid"/>
        </a:ln>
      </c:spPr>
      <c:txPr>
        <a:bodyPr/>
        <a:lstStyle/>
        <a:p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endParaRPr lang="en-US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prstDash val="solid"/>
      <a:round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ndrewromano.com.au/" TargetMode="Externa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332156</xdr:colOff>
      <xdr:row>0</xdr:row>
      <xdr:rowOff>195384</xdr:rowOff>
    </xdr:from>
    <xdr:to>
      <xdr:col>6</xdr:col>
      <xdr:colOff>353877</xdr:colOff>
      <xdr:row>1</xdr:row>
      <xdr:rowOff>78155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28E7492-A89B-9A7F-71AD-40F8C8A8C1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157310" y="195384"/>
          <a:ext cx="2678952" cy="50800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508000</xdr:colOff>
      <xdr:row>28</xdr:row>
      <xdr:rowOff>125780</xdr:rowOff>
    </xdr:from>
    <xdr:to>
      <xdr:col>19</xdr:col>
      <xdr:colOff>147820</xdr:colOff>
      <xdr:row>62</xdr:row>
      <xdr:rowOff>128300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114300</xdr:colOff>
      <xdr:row>28</xdr:row>
      <xdr:rowOff>125420</xdr:rowOff>
    </xdr:from>
    <xdr:to>
      <xdr:col>8</xdr:col>
      <xdr:colOff>173220</xdr:colOff>
      <xdr:row>62</xdr:row>
      <xdr:rowOff>127940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4</xdr:col>
      <xdr:colOff>1016000</xdr:colOff>
      <xdr:row>63</xdr:row>
      <xdr:rowOff>163880</xdr:rowOff>
    </xdr:from>
    <xdr:to>
      <xdr:col>12</xdr:col>
      <xdr:colOff>1011420</xdr:colOff>
      <xdr:row>97</xdr:row>
      <xdr:rowOff>166040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48</xdr:row>
      <xdr:rowOff>0</xdr:rowOff>
    </xdr:from>
    <xdr:to>
      <xdr:col>8</xdr:col>
      <xdr:colOff>216580</xdr:colOff>
      <xdr:row>82</xdr:row>
      <xdr:rowOff>2520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65</xdr:row>
      <xdr:rowOff>0</xdr:rowOff>
    </xdr:from>
    <xdr:to>
      <xdr:col>8</xdr:col>
      <xdr:colOff>216580</xdr:colOff>
      <xdr:row>99</xdr:row>
      <xdr:rowOff>2520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82</xdr:row>
      <xdr:rowOff>0</xdr:rowOff>
    </xdr:from>
    <xdr:to>
      <xdr:col>8</xdr:col>
      <xdr:colOff>216580</xdr:colOff>
      <xdr:row>109</xdr:row>
      <xdr:rowOff>78840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0"/>
  <sheetViews>
    <sheetView showGridLines="0" zoomScale="130" zoomScaleNormal="130" workbookViewId="0">
      <selection activeCell="B25" sqref="B25"/>
    </sheetView>
  </sheetViews>
  <sheetFormatPr baseColWidth="10" defaultColWidth="8.6640625" defaultRowHeight="15" x14ac:dyDescent="0.2"/>
  <cols>
    <col min="1" max="1" width="8.1640625" bestFit="1" customWidth="1"/>
    <col min="2" max="2" width="94.5" customWidth="1"/>
  </cols>
  <sheetData>
    <row r="1" spans="1:5" ht="49.5" customHeight="1" x14ac:dyDescent="0.2">
      <c r="A1" s="51" t="s">
        <v>0</v>
      </c>
      <c r="B1" s="52"/>
      <c r="C1" s="18"/>
      <c r="D1" s="18"/>
      <c r="E1" s="18"/>
    </row>
    <row r="2" spans="1:5" ht="21.75" customHeight="1" x14ac:dyDescent="0.2">
      <c r="A2" s="19"/>
      <c r="B2" s="20"/>
      <c r="C2" s="18"/>
      <c r="D2" s="18"/>
      <c r="E2" s="18"/>
    </row>
    <row r="3" spans="1:5" ht="21.75" customHeight="1" x14ac:dyDescent="0.2">
      <c r="A3" s="19" t="s">
        <v>1</v>
      </c>
      <c r="B3" s="20" t="s">
        <v>184</v>
      </c>
      <c r="C3" s="18"/>
      <c r="D3" s="50" t="s">
        <v>190</v>
      </c>
      <c r="E3" s="18"/>
    </row>
    <row r="4" spans="1:5" ht="21.75" customHeight="1" x14ac:dyDescent="0.2">
      <c r="A4" s="19"/>
      <c r="B4" s="20" t="s">
        <v>2</v>
      </c>
      <c r="C4" s="18"/>
      <c r="D4" s="18" t="s">
        <v>185</v>
      </c>
      <c r="E4" s="18"/>
    </row>
    <row r="5" spans="1:5" ht="21.75" customHeight="1" x14ac:dyDescent="0.2">
      <c r="A5" s="19"/>
      <c r="B5" s="20" t="s">
        <v>3</v>
      </c>
      <c r="C5" s="18"/>
      <c r="D5" t="s">
        <v>189</v>
      </c>
    </row>
    <row r="6" spans="1:5" ht="21.75" customHeight="1" x14ac:dyDescent="0.2">
      <c r="A6" s="19"/>
      <c r="B6" s="20"/>
      <c r="C6" s="18"/>
      <c r="D6" s="18"/>
    </row>
    <row r="7" spans="1:5" ht="21.75" customHeight="1" x14ac:dyDescent="0.2">
      <c r="A7" s="19" t="s">
        <v>4</v>
      </c>
      <c r="B7" s="20" t="s">
        <v>5</v>
      </c>
      <c r="C7" s="18"/>
      <c r="D7" s="18"/>
    </row>
    <row r="8" spans="1:5" ht="21.75" customHeight="1" x14ac:dyDescent="0.2">
      <c r="A8" s="19"/>
      <c r="B8" s="20" t="s">
        <v>6</v>
      </c>
      <c r="C8" s="18"/>
      <c r="D8" s="18"/>
      <c r="E8" s="18"/>
    </row>
    <row r="9" spans="1:5" ht="21.75" customHeight="1" x14ac:dyDescent="0.2">
      <c r="A9" s="19"/>
      <c r="B9" s="20" t="s">
        <v>7</v>
      </c>
      <c r="C9" s="18"/>
      <c r="D9" s="18"/>
      <c r="E9" s="18"/>
    </row>
    <row r="10" spans="1:5" ht="21.75" customHeight="1" x14ac:dyDescent="0.2">
      <c r="A10" s="19"/>
      <c r="B10" s="20" t="s">
        <v>8</v>
      </c>
      <c r="C10" s="18"/>
      <c r="D10" s="18"/>
      <c r="E10" s="18"/>
    </row>
    <row r="11" spans="1:5" ht="21.75" customHeight="1" x14ac:dyDescent="0.2">
      <c r="A11" s="19"/>
      <c r="B11" s="20"/>
      <c r="C11" s="18"/>
      <c r="D11" s="18"/>
      <c r="E11" s="18"/>
    </row>
    <row r="12" spans="1:5" ht="21.75" customHeight="1" x14ac:dyDescent="0.2">
      <c r="A12" s="19" t="s">
        <v>9</v>
      </c>
      <c r="B12" s="20" t="s">
        <v>10</v>
      </c>
      <c r="C12" s="18"/>
      <c r="D12" s="18"/>
      <c r="E12" s="18"/>
    </row>
    <row r="13" spans="1:5" ht="21.75" customHeight="1" x14ac:dyDescent="0.2">
      <c r="A13" s="19"/>
      <c r="B13" s="20"/>
      <c r="C13" s="18"/>
      <c r="D13" s="18"/>
      <c r="E13" s="18"/>
    </row>
    <row r="14" spans="1:5" ht="21.75" customHeight="1" x14ac:dyDescent="0.2">
      <c r="A14" s="19" t="s">
        <v>11</v>
      </c>
      <c r="B14" s="20" t="s">
        <v>12</v>
      </c>
      <c r="C14" s="18"/>
      <c r="D14" s="18"/>
      <c r="E14" s="18"/>
    </row>
    <row r="15" spans="1:5" ht="21.75" customHeight="1" x14ac:dyDescent="0.2">
      <c r="A15" s="19"/>
      <c r="B15" s="20" t="s">
        <v>13</v>
      </c>
      <c r="C15" s="18"/>
      <c r="D15" s="18"/>
      <c r="E15" s="18"/>
    </row>
    <row r="16" spans="1:5" ht="21.75" customHeight="1" x14ac:dyDescent="0.2">
      <c r="A16" s="19"/>
      <c r="B16" s="20"/>
      <c r="C16" s="18"/>
      <c r="D16" s="18"/>
      <c r="E16" s="18"/>
    </row>
    <row r="17" spans="1:5" ht="21.75" customHeight="1" x14ac:dyDescent="0.2">
      <c r="A17" s="19" t="s">
        <v>14</v>
      </c>
      <c r="B17" s="20" t="s">
        <v>187</v>
      </c>
      <c r="C17" s="18"/>
      <c r="D17" s="18"/>
      <c r="E17" s="18"/>
    </row>
    <row r="18" spans="1:5" ht="21.75" customHeight="1" x14ac:dyDescent="0.2">
      <c r="A18" s="19"/>
      <c r="B18" s="20" t="s">
        <v>15</v>
      </c>
      <c r="C18" s="18"/>
      <c r="D18" s="18"/>
      <c r="E18" s="18"/>
    </row>
    <row r="19" spans="1:5" ht="21.75" customHeight="1" x14ac:dyDescent="0.2">
      <c r="A19" s="19"/>
      <c r="B19" s="20"/>
      <c r="C19" s="18"/>
      <c r="D19" s="18"/>
      <c r="E19" s="18"/>
    </row>
    <row r="20" spans="1:5" ht="21.75" customHeight="1" x14ac:dyDescent="0.2">
      <c r="A20" s="19" t="s">
        <v>16</v>
      </c>
      <c r="B20" s="20" t="s">
        <v>17</v>
      </c>
      <c r="C20" s="18"/>
      <c r="D20" s="18"/>
      <c r="E20" s="18"/>
    </row>
    <row r="21" spans="1:5" ht="21.75" customHeight="1" x14ac:dyDescent="0.2">
      <c r="A21" s="19"/>
      <c r="B21" s="20" t="s">
        <v>18</v>
      </c>
      <c r="C21" s="18"/>
      <c r="D21" s="18"/>
      <c r="E21" s="18"/>
    </row>
    <row r="22" spans="1:5" ht="21.75" customHeight="1" x14ac:dyDescent="0.2">
      <c r="A22" s="19"/>
      <c r="B22" s="20" t="s">
        <v>183</v>
      </c>
      <c r="C22" s="18"/>
      <c r="D22" s="18"/>
      <c r="E22" s="18"/>
    </row>
    <row r="23" spans="1:5" ht="21.75" customHeight="1" x14ac:dyDescent="0.2">
      <c r="A23" s="19"/>
      <c r="B23" s="20" t="s">
        <v>19</v>
      </c>
      <c r="C23" s="18"/>
      <c r="D23" s="18"/>
      <c r="E23" s="18"/>
    </row>
    <row r="24" spans="1:5" ht="21.75" customHeight="1" x14ac:dyDescent="0.2">
      <c r="A24" s="19"/>
      <c r="B24" s="20" t="s">
        <v>191</v>
      </c>
      <c r="C24" s="18"/>
      <c r="D24" s="18"/>
      <c r="E24" s="18"/>
    </row>
    <row r="25" spans="1:5" ht="21.75" customHeight="1" x14ac:dyDescent="0.2">
      <c r="A25" s="19"/>
      <c r="B25" s="20"/>
      <c r="C25" s="18"/>
      <c r="D25" s="18"/>
      <c r="E25" s="18"/>
    </row>
    <row r="26" spans="1:5" ht="21.75" customHeight="1" x14ac:dyDescent="0.2">
      <c r="A26" s="19"/>
      <c r="B26" s="20" t="s">
        <v>20</v>
      </c>
      <c r="C26" s="18"/>
      <c r="D26" s="18"/>
      <c r="E26" s="18"/>
    </row>
    <row r="27" spans="1:5" x14ac:dyDescent="0.2">
      <c r="A27" s="18"/>
      <c r="B27" s="18"/>
      <c r="C27" s="18"/>
      <c r="D27" s="18"/>
      <c r="E27" s="18"/>
    </row>
    <row r="28" spans="1:5" x14ac:dyDescent="0.2">
      <c r="A28" s="18"/>
      <c r="B28" s="18"/>
      <c r="C28" s="18"/>
      <c r="D28" s="18"/>
      <c r="E28" s="18"/>
    </row>
    <row r="29" spans="1:5" x14ac:dyDescent="0.2">
      <c r="A29" s="18"/>
      <c r="C29" s="18"/>
      <c r="D29" s="18"/>
      <c r="E29" s="18"/>
    </row>
    <row r="30" spans="1:5" x14ac:dyDescent="0.2">
      <c r="A30" s="18"/>
      <c r="C30" s="18"/>
      <c r="D30" s="18"/>
      <c r="E30" s="18"/>
    </row>
  </sheetData>
  <sheetProtection algorithmName="SHA-512" hashValue="NZFYbospmCx/TdQ7GMZ+etk31/sBXN3/NL/mts2WgmAgL9Hxl5nBGFMKN7sPul/GNKvVvAFJikQO3RxoP9viIg==" saltValue="mdEhk8wXVnURzBUF2iLJMg==" spinCount="100000" sheet="1" objects="1" scenarios="1" selectLockedCells="1"/>
  <mergeCells count="1">
    <mergeCell ref="A1:B1"/>
  </mergeCells>
  <pageMargins left="0.75" right="0.75" top="1" bottom="1" header="0.511811023622047" footer="0.511811023622047"/>
  <pageSetup paperSize="9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34"/>
  <sheetViews>
    <sheetView showGridLines="0" zoomScale="140" zoomScaleNormal="140" workbookViewId="0">
      <selection activeCell="C21" sqref="C21"/>
    </sheetView>
  </sheetViews>
  <sheetFormatPr baseColWidth="10" defaultColWidth="8.6640625" defaultRowHeight="15" x14ac:dyDescent="0.2"/>
  <cols>
    <col min="1" max="1" width="3" customWidth="1"/>
    <col min="2" max="2" width="38" customWidth="1"/>
    <col min="3" max="3" width="22" customWidth="1"/>
    <col min="4" max="4" width="5" customWidth="1"/>
    <col min="5" max="5" width="38" customWidth="1"/>
    <col min="6" max="6" width="22" customWidth="1"/>
  </cols>
  <sheetData>
    <row r="1" spans="1:9" ht="49.5" customHeight="1" x14ac:dyDescent="0.2">
      <c r="A1" s="51" t="s">
        <v>21</v>
      </c>
      <c r="B1" s="52"/>
      <c r="C1" s="52"/>
      <c r="D1" s="52"/>
      <c r="E1" s="52"/>
      <c r="F1" s="52"/>
      <c r="G1" s="18"/>
      <c r="H1" s="18"/>
      <c r="I1" s="18"/>
    </row>
    <row r="2" spans="1:9" s="48" customFormat="1" ht="27.75" customHeight="1" x14ac:dyDescent="0.2">
      <c r="A2" s="58" t="s">
        <v>186</v>
      </c>
      <c r="B2" s="59"/>
      <c r="C2" s="59"/>
      <c r="D2" s="59"/>
      <c r="E2" s="59"/>
      <c r="F2" s="59"/>
      <c r="G2" s="47"/>
      <c r="H2" s="47"/>
      <c r="I2" s="47"/>
    </row>
    <row r="3" spans="1:9" x14ac:dyDescent="0.2">
      <c r="A3" s="18"/>
      <c r="B3" s="18"/>
      <c r="C3" s="18"/>
      <c r="D3" s="18"/>
      <c r="E3" s="18"/>
      <c r="F3" s="18"/>
      <c r="G3" s="18"/>
      <c r="H3" s="18"/>
      <c r="I3" s="18"/>
    </row>
    <row r="4" spans="1:9" ht="15" customHeight="1" x14ac:dyDescent="0.2">
      <c r="A4" s="18"/>
      <c r="B4" s="57" t="s">
        <v>22</v>
      </c>
      <c r="C4" s="56"/>
      <c r="D4" s="18"/>
      <c r="E4" s="60" t="s">
        <v>23</v>
      </c>
      <c r="F4" s="56"/>
      <c r="G4" s="18"/>
      <c r="H4" s="18"/>
      <c r="I4" s="18"/>
    </row>
    <row r="5" spans="1:9" ht="15" customHeight="1" x14ac:dyDescent="0.2">
      <c r="A5" s="18"/>
      <c r="B5" s="21" t="s">
        <v>24</v>
      </c>
      <c r="C5" s="35">
        <v>1450000</v>
      </c>
      <c r="D5" s="18"/>
      <c r="E5" s="21" t="s">
        <v>25</v>
      </c>
      <c r="F5" s="35">
        <v>950</v>
      </c>
      <c r="G5" s="18"/>
      <c r="H5" s="18"/>
      <c r="I5" s="18"/>
    </row>
    <row r="6" spans="1:9" ht="15" customHeight="1" x14ac:dyDescent="0.2">
      <c r="A6" s="18"/>
      <c r="B6" s="21" t="s">
        <v>26</v>
      </c>
      <c r="C6" s="36">
        <v>0.25</v>
      </c>
      <c r="D6" s="18"/>
      <c r="E6" s="21" t="s">
        <v>27</v>
      </c>
      <c r="F6" s="36">
        <v>0.03</v>
      </c>
      <c r="G6" s="18"/>
      <c r="H6" s="18"/>
      <c r="I6" s="18"/>
    </row>
    <row r="7" spans="1:9" ht="15" customHeight="1" x14ac:dyDescent="0.2">
      <c r="A7" s="18"/>
      <c r="B7" s="21" t="s">
        <v>28</v>
      </c>
      <c r="C7" s="37">
        <v>30</v>
      </c>
      <c r="D7" s="18"/>
      <c r="E7" s="21" t="s">
        <v>29</v>
      </c>
      <c r="F7" s="35">
        <v>500</v>
      </c>
      <c r="G7" s="18"/>
      <c r="H7" s="18"/>
      <c r="I7" s="18"/>
    </row>
    <row r="8" spans="1:9" ht="15" customHeight="1" x14ac:dyDescent="0.2">
      <c r="A8" s="18"/>
      <c r="B8" s="21" t="s">
        <v>30</v>
      </c>
      <c r="C8" s="38">
        <v>5.7500000000000002E-2</v>
      </c>
      <c r="D8" s="18"/>
      <c r="E8" s="21" t="s">
        <v>31</v>
      </c>
      <c r="F8" s="36">
        <v>0.06</v>
      </c>
      <c r="G8" s="18"/>
      <c r="H8" s="18"/>
      <c r="I8" s="18"/>
    </row>
    <row r="9" spans="1:9" ht="15" customHeight="1" x14ac:dyDescent="0.2">
      <c r="A9" s="18"/>
      <c r="B9" s="21" t="s">
        <v>32</v>
      </c>
      <c r="C9" s="35">
        <v>35000</v>
      </c>
      <c r="D9" s="18"/>
      <c r="E9" s="21" t="s">
        <v>33</v>
      </c>
      <c r="F9" s="36">
        <v>0.25</v>
      </c>
      <c r="G9" s="18"/>
      <c r="H9" s="18"/>
      <c r="I9" s="18"/>
    </row>
    <row r="10" spans="1:9" ht="15" customHeight="1" x14ac:dyDescent="0.2">
      <c r="A10" s="18"/>
      <c r="B10" s="21" t="s">
        <v>34</v>
      </c>
      <c r="C10" s="35">
        <v>2500</v>
      </c>
      <c r="D10" s="18"/>
      <c r="E10" s="18"/>
      <c r="F10" s="18"/>
      <c r="G10" s="18"/>
      <c r="H10" s="18"/>
      <c r="I10" s="18"/>
    </row>
    <row r="11" spans="1:9" ht="15" customHeight="1" x14ac:dyDescent="0.2">
      <c r="A11" s="18"/>
      <c r="B11" s="21" t="s">
        <v>35</v>
      </c>
      <c r="C11" s="35">
        <v>500</v>
      </c>
      <c r="D11" s="18"/>
      <c r="E11" s="18"/>
      <c r="F11" s="18"/>
      <c r="G11" s="18"/>
      <c r="H11" s="18"/>
      <c r="I11" s="18"/>
    </row>
    <row r="12" spans="1:9" ht="15" customHeight="1" x14ac:dyDescent="0.2">
      <c r="A12" s="18"/>
      <c r="B12" s="21" t="s">
        <v>36</v>
      </c>
      <c r="C12" s="35">
        <v>300</v>
      </c>
      <c r="D12" s="18"/>
      <c r="E12" s="18"/>
      <c r="F12" s="18"/>
      <c r="G12" s="18"/>
      <c r="H12" s="18"/>
      <c r="I12" s="18"/>
    </row>
    <row r="13" spans="1:9" ht="15" customHeight="1" x14ac:dyDescent="0.2">
      <c r="A13" s="18"/>
      <c r="B13" s="21" t="s">
        <v>37</v>
      </c>
      <c r="C13" s="35">
        <v>15000</v>
      </c>
      <c r="D13" s="18"/>
      <c r="E13" s="18"/>
      <c r="F13" s="18"/>
      <c r="G13" s="18"/>
      <c r="H13" s="18"/>
      <c r="I13" s="18"/>
    </row>
    <row r="14" spans="1:9" ht="15" customHeight="1" x14ac:dyDescent="0.2">
      <c r="A14" s="18"/>
      <c r="B14" s="21" t="s">
        <v>38</v>
      </c>
      <c r="C14" s="35">
        <v>1500</v>
      </c>
      <c r="D14" s="18"/>
      <c r="E14" s="18"/>
      <c r="F14" s="18"/>
      <c r="G14" s="18"/>
      <c r="H14" s="18"/>
      <c r="I14" s="18"/>
    </row>
    <row r="15" spans="1:9" ht="15" customHeight="1" x14ac:dyDescent="0.2">
      <c r="A15" s="18"/>
      <c r="B15" s="21" t="s">
        <v>39</v>
      </c>
      <c r="C15" s="35">
        <v>1500</v>
      </c>
      <c r="D15" s="18"/>
      <c r="E15" s="18"/>
      <c r="F15" s="18"/>
      <c r="G15" s="18"/>
      <c r="H15" s="18"/>
      <c r="I15" s="18"/>
    </row>
    <row r="16" spans="1:9" ht="15" customHeight="1" x14ac:dyDescent="0.2">
      <c r="A16" s="18"/>
      <c r="B16" s="21" t="s">
        <v>40</v>
      </c>
      <c r="C16" s="35">
        <v>0</v>
      </c>
      <c r="D16" s="18"/>
      <c r="E16" s="18"/>
      <c r="F16" s="18"/>
      <c r="G16" s="18"/>
      <c r="H16" s="18"/>
      <c r="I16" s="18"/>
    </row>
    <row r="17" spans="1:9" ht="15" customHeight="1" x14ac:dyDescent="0.2">
      <c r="A17" s="18"/>
      <c r="B17" s="21" t="s">
        <v>41</v>
      </c>
      <c r="C17" s="35">
        <v>2000</v>
      </c>
      <c r="D17" s="18"/>
      <c r="E17" s="18"/>
      <c r="F17" s="18"/>
      <c r="G17" s="18"/>
      <c r="H17" s="18"/>
      <c r="I17" s="18"/>
    </row>
    <row r="18" spans="1:9" ht="15" customHeight="1" x14ac:dyDescent="0.2">
      <c r="A18" s="18"/>
      <c r="B18" s="21" t="s">
        <v>42</v>
      </c>
      <c r="C18" s="36">
        <v>5.0000000000000001E-3</v>
      </c>
      <c r="D18" s="18"/>
      <c r="E18" s="18"/>
      <c r="F18" s="18"/>
      <c r="G18" s="18"/>
      <c r="H18" s="18"/>
      <c r="I18" s="18"/>
    </row>
    <row r="19" spans="1:9" ht="15" customHeight="1" x14ac:dyDescent="0.2">
      <c r="A19" s="18"/>
      <c r="B19" s="21" t="s">
        <v>43</v>
      </c>
      <c r="C19" s="36">
        <v>0.03</v>
      </c>
      <c r="D19" s="18"/>
      <c r="E19" s="18"/>
      <c r="F19" s="18"/>
      <c r="G19" s="18"/>
      <c r="H19" s="18"/>
      <c r="I19" s="18"/>
    </row>
    <row r="20" spans="1:9" ht="15" customHeight="1" x14ac:dyDescent="0.2">
      <c r="A20" s="18"/>
      <c r="B20" s="21" t="s">
        <v>44</v>
      </c>
      <c r="C20" s="37">
        <v>15</v>
      </c>
      <c r="D20" s="18"/>
      <c r="E20" s="18"/>
      <c r="F20" s="18"/>
      <c r="G20" s="18"/>
      <c r="H20" s="18"/>
      <c r="I20" s="18"/>
    </row>
    <row r="21" spans="1:9" x14ac:dyDescent="0.2">
      <c r="A21" s="18"/>
      <c r="B21" s="18"/>
      <c r="C21" s="18"/>
      <c r="D21" s="18"/>
      <c r="E21" s="18"/>
      <c r="F21" s="18"/>
      <c r="G21" s="18"/>
      <c r="H21" s="18"/>
      <c r="I21" s="18"/>
    </row>
    <row r="22" spans="1:9" x14ac:dyDescent="0.2">
      <c r="A22" s="18"/>
      <c r="B22" s="18"/>
      <c r="C22" s="18"/>
      <c r="D22" s="18"/>
      <c r="E22" s="18"/>
      <c r="F22" s="18"/>
      <c r="G22" s="18"/>
      <c r="H22" s="18"/>
      <c r="I22" s="18"/>
    </row>
    <row r="23" spans="1:9" ht="15" customHeight="1" x14ac:dyDescent="0.2">
      <c r="A23" s="18"/>
      <c r="B23" s="55" t="s">
        <v>45</v>
      </c>
      <c r="C23" s="54"/>
      <c r="D23" s="54"/>
      <c r="E23" s="54"/>
      <c r="F23" s="56"/>
      <c r="G23" s="18"/>
      <c r="H23" s="18"/>
      <c r="I23" s="18"/>
    </row>
    <row r="24" spans="1:9" ht="15" customHeight="1" x14ac:dyDescent="0.2">
      <c r="A24" s="18"/>
      <c r="B24" s="21" t="s">
        <v>46</v>
      </c>
      <c r="C24" s="53">
        <f>C5*(1-C6)</f>
        <v>1087500</v>
      </c>
      <c r="D24" s="54"/>
      <c r="E24" s="18"/>
      <c r="F24" s="18"/>
      <c r="G24" s="18"/>
      <c r="H24" s="18"/>
      <c r="I24" s="18"/>
    </row>
    <row r="25" spans="1:9" ht="15" customHeight="1" x14ac:dyDescent="0.2">
      <c r="A25" s="18"/>
      <c r="B25" s="21" t="s">
        <v>47</v>
      </c>
      <c r="C25" s="53">
        <f>IF(C8=0,0,-PMT(C8/12,C7*12,C5*(1-C6)))</f>
        <v>6346.3548138236392</v>
      </c>
      <c r="D25" s="54"/>
      <c r="E25" s="18"/>
      <c r="F25" s="18"/>
      <c r="G25" s="18"/>
      <c r="H25" s="18"/>
      <c r="I25" s="18"/>
    </row>
    <row r="26" spans="1:9" ht="15" customHeight="1" x14ac:dyDescent="0.2">
      <c r="A26" s="18"/>
      <c r="B26" s="21" t="s">
        <v>48</v>
      </c>
      <c r="C26" s="53">
        <f>C5*C6+C9+C10+C11+C12+C13</f>
        <v>415800</v>
      </c>
      <c r="D26" s="54"/>
      <c r="E26" s="18"/>
      <c r="F26" s="18"/>
      <c r="G26" s="18"/>
      <c r="H26" s="18"/>
      <c r="I26" s="18"/>
    </row>
    <row r="27" spans="1:9" ht="15" customHeight="1" x14ac:dyDescent="0.2">
      <c r="A27" s="18"/>
      <c r="B27" s="21" t="s">
        <v>49</v>
      </c>
      <c r="C27" s="53">
        <f>F5*52</f>
        <v>49400</v>
      </c>
      <c r="D27" s="54"/>
      <c r="E27" s="18"/>
      <c r="F27" s="18"/>
      <c r="G27" s="18"/>
      <c r="H27" s="18"/>
      <c r="I27" s="18"/>
    </row>
    <row r="28" spans="1:9" ht="15" customHeight="1" x14ac:dyDescent="0.2">
      <c r="A28" s="18"/>
      <c r="B28" s="21" t="s">
        <v>50</v>
      </c>
      <c r="C28" s="53">
        <f>F5*52/12</f>
        <v>4116.666666666667</v>
      </c>
      <c r="D28" s="54"/>
      <c r="E28" s="18"/>
      <c r="F28" s="18"/>
      <c r="G28" s="18"/>
      <c r="H28" s="18"/>
      <c r="I28" s="18"/>
    </row>
    <row r="29" spans="1:9" ht="15" customHeight="1" x14ac:dyDescent="0.2">
      <c r="A29" s="18"/>
      <c r="B29" s="21" t="s">
        <v>51</v>
      </c>
      <c r="C29" s="53">
        <f>C5*C6</f>
        <v>362500</v>
      </c>
      <c r="D29" s="54"/>
      <c r="E29" s="18"/>
      <c r="F29" s="18"/>
      <c r="G29" s="18"/>
      <c r="H29" s="18"/>
      <c r="I29" s="18"/>
    </row>
    <row r="30" spans="1:9" x14ac:dyDescent="0.2">
      <c r="A30" s="18"/>
      <c r="B30" s="18"/>
      <c r="C30" s="18"/>
      <c r="D30" s="18"/>
      <c r="E30" s="18"/>
      <c r="F30" s="18"/>
      <c r="G30" s="18"/>
      <c r="H30" s="18"/>
      <c r="I30" s="18"/>
    </row>
    <row r="31" spans="1:9" x14ac:dyDescent="0.2">
      <c r="A31" s="18"/>
      <c r="B31" s="18"/>
      <c r="C31" s="18"/>
      <c r="D31" s="18"/>
      <c r="E31" s="18"/>
      <c r="F31" s="18"/>
      <c r="G31" s="18"/>
      <c r="H31" s="18"/>
      <c r="I31" s="18"/>
    </row>
    <row r="32" spans="1:9" x14ac:dyDescent="0.2">
      <c r="A32" s="18"/>
      <c r="B32" s="18"/>
      <c r="C32" s="18"/>
      <c r="D32" s="18"/>
      <c r="E32" s="18"/>
      <c r="F32" s="18"/>
      <c r="G32" s="18"/>
      <c r="H32" s="18"/>
      <c r="I32" s="18"/>
    </row>
    <row r="33" spans="1:9" x14ac:dyDescent="0.2">
      <c r="A33" s="18"/>
      <c r="B33" s="18"/>
      <c r="C33" s="18"/>
      <c r="D33" s="18"/>
      <c r="E33" s="18"/>
      <c r="F33" s="18"/>
      <c r="G33" s="18"/>
      <c r="H33" s="18"/>
      <c r="I33" s="18"/>
    </row>
    <row r="34" spans="1:9" x14ac:dyDescent="0.2">
      <c r="A34" s="18"/>
      <c r="B34" s="18"/>
      <c r="C34" s="18"/>
      <c r="D34" s="18"/>
      <c r="E34" s="18"/>
      <c r="F34" s="18"/>
      <c r="G34" s="18"/>
      <c r="H34" s="18"/>
      <c r="I34" s="18"/>
    </row>
  </sheetData>
  <mergeCells count="11">
    <mergeCell ref="C29:D29"/>
    <mergeCell ref="C24:D24"/>
    <mergeCell ref="C25:D25"/>
    <mergeCell ref="A1:F1"/>
    <mergeCell ref="C27:D27"/>
    <mergeCell ref="C28:D28"/>
    <mergeCell ref="B23:F23"/>
    <mergeCell ref="C26:D26"/>
    <mergeCell ref="B4:C4"/>
    <mergeCell ref="A2:F2"/>
    <mergeCell ref="E4:F4"/>
  </mergeCells>
  <pageMargins left="0.75" right="0.75" top="1" bottom="1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33"/>
  <sheetViews>
    <sheetView showGridLines="0" zoomScaleNormal="100" workbookViewId="0">
      <selection activeCell="R21" sqref="R21"/>
    </sheetView>
  </sheetViews>
  <sheetFormatPr baseColWidth="10" defaultColWidth="8.6640625" defaultRowHeight="15" x14ac:dyDescent="0.2"/>
  <cols>
    <col min="1" max="1" width="28" customWidth="1"/>
    <col min="2" max="7" width="14" customWidth="1"/>
    <col min="8" max="8" width="30" customWidth="1"/>
    <col min="9" max="11" width="14" customWidth="1"/>
    <col min="12" max="12" width="28.83203125" customWidth="1"/>
    <col min="13" max="15" width="14" customWidth="1"/>
  </cols>
  <sheetData>
    <row r="1" spans="1:18" ht="54.75" customHeight="1" x14ac:dyDescent="0.2">
      <c r="A1" s="61" t="s">
        <v>52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18"/>
      <c r="Q1" s="18"/>
      <c r="R1" s="18"/>
    </row>
    <row r="2" spans="1:18" x14ac:dyDescent="0.2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</row>
    <row r="3" spans="1:18" ht="34.5" customHeight="1" x14ac:dyDescent="0.2">
      <c r="A3" s="68" t="s">
        <v>53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18"/>
      <c r="Q3" s="18"/>
      <c r="R3" s="18"/>
    </row>
    <row r="4" spans="1:18" ht="49.5" customHeight="1" x14ac:dyDescent="0.2">
      <c r="A4" s="69" t="str">
        <f>IF(INDEX('Year-by-Year Analysis'!N:N,Inputs!C20+3)&gt;0,"✅  BUYING IS BETTER by "&amp;TEXT(ABS(INDEX('Year-by-Year Analysis'!N:N,Inputs!C20+3)),"$#,##0")&amp;" over "&amp;Inputs!C20&amp;" years","❌  RENTING IS BETTER by "&amp;TEXT(ABS(INDEX('Year-by-Year Analysis'!N:N,Inputs!C20+3)),"$#,##0")&amp;" over "&amp;Inputs!C20&amp;" years")</f>
        <v>✅  BUYING IS BETTER by $68,539 over 15 years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18"/>
      <c r="Q4" s="18"/>
      <c r="R4" s="18"/>
    </row>
    <row r="5" spans="1:18" ht="15" customHeight="1" x14ac:dyDescent="0.2">
      <c r="A5" s="72" t="str">
        <f>IF(INDEX('Year-by-Year Analysis'!N:N,Inputs!C20+3)&gt;0,"Based on your inputs, buying builds more wealth than renting and investing the difference.","Based on your inputs, renting and investing the savings builds more wealth than buying.")</f>
        <v>Based on your inputs, buying builds more wealth than renting and investing the difference.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18"/>
      <c r="Q5" s="18"/>
      <c r="R5" s="18"/>
    </row>
    <row r="6" spans="1:18" x14ac:dyDescent="0.2">
      <c r="A6" s="18"/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</row>
    <row r="7" spans="1:18" ht="15" customHeight="1" x14ac:dyDescent="0.2">
      <c r="A7" s="66" t="s">
        <v>54</v>
      </c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18"/>
      <c r="Q7" s="18"/>
      <c r="R7" s="18"/>
    </row>
    <row r="8" spans="1:18" x14ac:dyDescent="0.2">
      <c r="A8" s="18"/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</row>
    <row r="9" spans="1:18" ht="15" customHeight="1" x14ac:dyDescent="0.2">
      <c r="A9" s="18"/>
      <c r="B9" s="62" t="s">
        <v>55</v>
      </c>
      <c r="C9" s="52"/>
      <c r="D9" s="18"/>
      <c r="E9" s="62" t="s">
        <v>56</v>
      </c>
      <c r="F9" s="52"/>
      <c r="G9" s="18"/>
      <c r="H9" s="62" t="s">
        <v>57</v>
      </c>
      <c r="I9" s="52"/>
      <c r="J9" s="18"/>
      <c r="K9" s="18"/>
      <c r="L9" s="62" t="s">
        <v>58</v>
      </c>
      <c r="M9" s="52"/>
      <c r="N9" s="18"/>
      <c r="O9" s="18"/>
      <c r="P9" s="18"/>
      <c r="Q9" s="18"/>
      <c r="R9" s="18"/>
    </row>
    <row r="10" spans="1:18" ht="17.25" customHeight="1" x14ac:dyDescent="0.2">
      <c r="A10" s="18"/>
      <c r="B10" s="65">
        <f>INDEX('Year-by-Year Analysis'!B:B,Inputs!C20+3)</f>
        <v>2259052.7540711095</v>
      </c>
      <c r="C10" s="52"/>
      <c r="D10" s="18"/>
      <c r="E10" s="65">
        <f>INDEX('Year-by-Year Analysis'!D:D,Inputs!C20+3)</f>
        <v>1494809.2901458789</v>
      </c>
      <c r="F10" s="52"/>
      <c r="G10" s="18"/>
      <c r="H10" s="65">
        <f>INDEX('Year-by-Year Analysis'!C:C,Inputs!C20+3)</f>
        <v>764243.46392523055</v>
      </c>
      <c r="I10" s="52"/>
      <c r="J10" s="18"/>
      <c r="K10" s="18"/>
      <c r="L10" s="65">
        <f>INDEX('Year-by-Year Analysis'!H:H,Inputs!C20+3)</f>
        <v>1356231.2559371286</v>
      </c>
      <c r="M10" s="52"/>
      <c r="N10" s="18"/>
      <c r="O10" s="18"/>
      <c r="P10" s="18"/>
      <c r="Q10" s="18"/>
      <c r="R10" s="18"/>
    </row>
    <row r="11" spans="1:18" x14ac:dyDescent="0.2">
      <c r="A11" s="18"/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</row>
    <row r="12" spans="1:18" ht="15" customHeight="1" x14ac:dyDescent="0.2">
      <c r="A12" s="18"/>
      <c r="B12" s="62" t="s">
        <v>59</v>
      </c>
      <c r="C12" s="52"/>
      <c r="D12" s="18"/>
      <c r="E12" s="62" t="s">
        <v>60</v>
      </c>
      <c r="F12" s="52"/>
      <c r="G12" s="18"/>
      <c r="H12" s="62" t="s">
        <v>61</v>
      </c>
      <c r="I12" s="52"/>
      <c r="J12" s="18"/>
      <c r="K12" s="18"/>
      <c r="L12" s="62" t="s">
        <v>62</v>
      </c>
      <c r="M12" s="52"/>
      <c r="N12" s="18"/>
      <c r="O12" s="18"/>
      <c r="P12" s="18"/>
      <c r="Q12" s="18"/>
      <c r="R12" s="18"/>
    </row>
    <row r="13" spans="1:18" ht="17.25" customHeight="1" x14ac:dyDescent="0.2">
      <c r="A13" s="18"/>
      <c r="B13" s="65">
        <f>INDEX('Year-by-Year Analysis'!K:K,Inputs!C20+3)</f>
        <v>926286.34600259224</v>
      </c>
      <c r="C13" s="52"/>
      <c r="D13" s="18"/>
      <c r="E13" s="65">
        <f>INDEX('Year-by-Year Analysis'!M:M,Inputs!C20+3)</f>
        <v>1426270.3235915396</v>
      </c>
      <c r="F13" s="52"/>
      <c r="G13" s="18"/>
      <c r="H13" s="65">
        <f>IF(Inputs!C8=0,0,-PMT(Inputs!C8/12,Inputs!C7*12,Inputs!C5*(1-Inputs!C6)))</f>
        <v>6346.3548138236392</v>
      </c>
      <c r="I13" s="52"/>
      <c r="J13" s="18"/>
      <c r="K13" s="18"/>
      <c r="L13" s="65">
        <f>Inputs!F5*52/12</f>
        <v>4116.666666666667</v>
      </c>
      <c r="M13" s="52"/>
      <c r="N13" s="18"/>
      <c r="O13" s="18"/>
      <c r="P13" s="18"/>
      <c r="Q13" s="18"/>
      <c r="R13" s="18"/>
    </row>
    <row r="14" spans="1:18" x14ac:dyDescent="0.2">
      <c r="A14" s="18"/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</row>
    <row r="15" spans="1:18" ht="15" customHeight="1" x14ac:dyDescent="0.2">
      <c r="A15" s="66" t="s">
        <v>63</v>
      </c>
      <c r="B15" s="52"/>
      <c r="C15" s="52"/>
      <c r="D15" s="52"/>
      <c r="E15" s="52"/>
      <c r="F15" s="52"/>
      <c r="G15" s="52"/>
      <c r="H15" s="66" t="s">
        <v>64</v>
      </c>
      <c r="I15" s="52"/>
      <c r="J15" s="52"/>
      <c r="K15" s="52"/>
      <c r="L15" s="52"/>
      <c r="M15" s="52"/>
      <c r="N15" s="52"/>
      <c r="O15" s="52"/>
      <c r="P15" s="18"/>
      <c r="Q15" s="18"/>
      <c r="R15" s="18"/>
    </row>
    <row r="16" spans="1:18" s="43" customFormat="1" ht="15" customHeight="1" x14ac:dyDescent="0.2">
      <c r="A16" s="41"/>
      <c r="B16" s="42"/>
      <c r="C16" s="42"/>
      <c r="D16" s="42"/>
      <c r="E16" s="42"/>
      <c r="F16" s="42"/>
      <c r="G16" s="42"/>
      <c r="H16" s="41"/>
      <c r="I16" s="42"/>
      <c r="J16" s="42"/>
      <c r="K16" s="42"/>
      <c r="L16" s="42"/>
      <c r="M16" s="42"/>
      <c r="N16" s="42"/>
      <c r="O16" s="42"/>
      <c r="P16" s="42"/>
      <c r="Q16" s="42"/>
      <c r="R16" s="42"/>
    </row>
    <row r="17" spans="1:18" x14ac:dyDescent="0.2">
      <c r="A17" s="18"/>
      <c r="B17" s="18"/>
      <c r="C17" s="18"/>
      <c r="D17" s="18"/>
      <c r="E17" s="18"/>
      <c r="F17" s="18"/>
      <c r="G17" s="18"/>
      <c r="H17" s="45" t="s">
        <v>65</v>
      </c>
      <c r="I17" s="18"/>
      <c r="J17" s="18"/>
      <c r="K17" s="18"/>
      <c r="L17" s="46" t="s">
        <v>66</v>
      </c>
      <c r="M17" s="18"/>
      <c r="N17" s="18"/>
      <c r="O17" s="18"/>
      <c r="P17" s="18"/>
      <c r="Q17" s="18"/>
      <c r="R17" s="18"/>
    </row>
    <row r="18" spans="1:18" x14ac:dyDescent="0.2">
      <c r="A18" s="40" t="s">
        <v>67</v>
      </c>
      <c r="B18" s="63">
        <f>Inputs!C5*Inputs!C6</f>
        <v>362500</v>
      </c>
      <c r="C18" s="64"/>
      <c r="D18" s="18"/>
      <c r="E18" s="18"/>
      <c r="F18" s="18"/>
      <c r="G18" s="18"/>
      <c r="H18" s="40" t="s">
        <v>68</v>
      </c>
      <c r="I18" s="67">
        <f>IF(Inputs!C8=0,0,-PMT(Inputs!C8/12,Inputs!C7*12,Inputs!C5*(1-Inputs!C6))*12)</f>
        <v>76156.257765883667</v>
      </c>
      <c r="J18" s="64"/>
      <c r="K18" s="18"/>
      <c r="L18" s="40" t="s">
        <v>69</v>
      </c>
      <c r="M18" s="67">
        <f>Inputs!F5*52</f>
        <v>49400</v>
      </c>
      <c r="N18" s="64"/>
      <c r="O18" s="18"/>
      <c r="P18" s="18"/>
      <c r="Q18" s="18"/>
      <c r="R18" s="18"/>
    </row>
    <row r="19" spans="1:18" x14ac:dyDescent="0.2">
      <c r="A19" s="40" t="s">
        <v>70</v>
      </c>
      <c r="B19" s="63">
        <f>Inputs!C9</f>
        <v>35000</v>
      </c>
      <c r="C19" s="64"/>
      <c r="D19" s="18"/>
      <c r="E19" s="18"/>
      <c r="F19" s="18"/>
      <c r="G19" s="18"/>
      <c r="H19" s="40" t="s">
        <v>71</v>
      </c>
      <c r="I19" s="67">
        <f>Inputs!C14</f>
        <v>1500</v>
      </c>
      <c r="J19" s="64"/>
      <c r="K19" s="18"/>
      <c r="L19" s="40" t="s">
        <v>72</v>
      </c>
      <c r="M19" s="67">
        <f>Inputs!F7</f>
        <v>500</v>
      </c>
      <c r="N19" s="64"/>
      <c r="O19" s="18"/>
      <c r="P19" s="18"/>
      <c r="Q19" s="18"/>
      <c r="R19" s="18"/>
    </row>
    <row r="20" spans="1:18" x14ac:dyDescent="0.2">
      <c r="A20" s="40" t="s">
        <v>73</v>
      </c>
      <c r="B20" s="63">
        <f>Inputs!C10</f>
        <v>2500</v>
      </c>
      <c r="C20" s="64"/>
      <c r="D20" s="18"/>
      <c r="E20" s="18"/>
      <c r="F20" s="18"/>
      <c r="G20" s="18"/>
      <c r="H20" s="40" t="s">
        <v>74</v>
      </c>
      <c r="I20" s="67">
        <f>Inputs!C15</f>
        <v>1500</v>
      </c>
      <c r="J20" s="64"/>
      <c r="K20" s="18"/>
      <c r="L20" s="40"/>
      <c r="M20" s="64"/>
      <c r="N20" s="64"/>
      <c r="O20" s="18"/>
      <c r="P20" s="18"/>
      <c r="Q20" s="18"/>
      <c r="R20" s="18"/>
    </row>
    <row r="21" spans="1:18" x14ac:dyDescent="0.2">
      <c r="A21" s="40" t="s">
        <v>75</v>
      </c>
      <c r="B21" s="63">
        <f>Inputs!C11</f>
        <v>500</v>
      </c>
      <c r="C21" s="64"/>
      <c r="D21" s="18"/>
      <c r="E21" s="18"/>
      <c r="F21" s="18"/>
      <c r="G21" s="18"/>
      <c r="H21" s="40" t="s">
        <v>76</v>
      </c>
      <c r="I21" s="67">
        <f>Inputs!C16</f>
        <v>0</v>
      </c>
      <c r="J21" s="64"/>
      <c r="K21" s="18"/>
      <c r="L21" s="40"/>
      <c r="M21" s="64"/>
      <c r="N21" s="64"/>
      <c r="O21" s="18"/>
      <c r="P21" s="18"/>
      <c r="Q21" s="18"/>
      <c r="R21" s="18"/>
    </row>
    <row r="22" spans="1:18" x14ac:dyDescent="0.2">
      <c r="A22" s="40" t="s">
        <v>77</v>
      </c>
      <c r="B22" s="63">
        <f>Inputs!C12</f>
        <v>300</v>
      </c>
      <c r="C22" s="64"/>
      <c r="D22" s="18"/>
      <c r="E22" s="18"/>
      <c r="F22" s="18"/>
      <c r="G22" s="18"/>
      <c r="H22" s="40" t="s">
        <v>78</v>
      </c>
      <c r="I22" s="67">
        <f>Inputs!C17</f>
        <v>2000</v>
      </c>
      <c r="J22" s="64"/>
      <c r="K22" s="18"/>
      <c r="L22" s="40"/>
      <c r="M22" s="64"/>
      <c r="N22" s="64"/>
      <c r="O22" s="18"/>
      <c r="P22" s="18"/>
      <c r="Q22" s="18"/>
      <c r="R22" s="18"/>
    </row>
    <row r="23" spans="1:18" x14ac:dyDescent="0.2">
      <c r="A23" s="40" t="s">
        <v>79</v>
      </c>
      <c r="B23" s="63">
        <f>Inputs!C13</f>
        <v>15000</v>
      </c>
      <c r="C23" s="64"/>
      <c r="D23" s="18"/>
      <c r="E23" s="18"/>
      <c r="F23" s="18"/>
      <c r="G23" s="18"/>
      <c r="H23" s="40" t="s">
        <v>80</v>
      </c>
      <c r="I23" s="67">
        <f>Inputs!C5*Inputs!C18</f>
        <v>7250</v>
      </c>
      <c r="J23" s="64"/>
      <c r="K23" s="18"/>
      <c r="L23" s="40"/>
      <c r="M23" s="64"/>
      <c r="N23" s="64"/>
      <c r="O23" s="18"/>
      <c r="P23" s="18"/>
      <c r="Q23" s="18"/>
      <c r="R23" s="18"/>
    </row>
    <row r="24" spans="1:18" ht="23.25" customHeight="1" x14ac:dyDescent="0.2">
      <c r="A24" s="39" t="s">
        <v>81</v>
      </c>
      <c r="B24" s="70">
        <f>SUM(B18:B23)</f>
        <v>415800</v>
      </c>
      <c r="C24" s="52"/>
      <c r="D24" s="18"/>
      <c r="E24" s="18"/>
      <c r="F24" s="18"/>
      <c r="G24" s="18"/>
      <c r="H24" s="39" t="s">
        <v>82</v>
      </c>
      <c r="I24" s="71">
        <f>SUM(I18:I23)</f>
        <v>88406.257765883667</v>
      </c>
      <c r="J24" s="52"/>
      <c r="K24" s="18"/>
      <c r="L24" s="44" t="s">
        <v>83</v>
      </c>
      <c r="M24" s="73">
        <f>M18+M19</f>
        <v>49900</v>
      </c>
      <c r="N24" s="52"/>
      <c r="O24" s="18"/>
      <c r="P24" s="18"/>
      <c r="Q24" s="18"/>
      <c r="R24" s="18"/>
    </row>
    <row r="25" spans="1:18" ht="23.25" customHeight="1" x14ac:dyDescent="0.2">
      <c r="A25" s="32"/>
      <c r="B25" s="33"/>
      <c r="H25" s="32"/>
      <c r="I25" s="34"/>
      <c r="L25" s="32"/>
      <c r="M25" s="34"/>
    </row>
    <row r="26" spans="1:18" x14ac:dyDescent="0.2">
      <c r="A26" s="18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</row>
    <row r="27" spans="1:18" x14ac:dyDescent="0.2">
      <c r="A27" s="18"/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</row>
    <row r="28" spans="1:18" ht="15" customHeight="1" x14ac:dyDescent="0.2">
      <c r="A28" s="66" t="s">
        <v>84</v>
      </c>
      <c r="B28" s="52"/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18"/>
      <c r="Q28" s="18"/>
      <c r="R28" s="18"/>
    </row>
    <row r="29" spans="1:18" x14ac:dyDescent="0.2">
      <c r="A29" s="18"/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</row>
    <row r="30" spans="1:18" x14ac:dyDescent="0.2">
      <c r="A30" s="18"/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</row>
    <row r="31" spans="1:18" x14ac:dyDescent="0.2">
      <c r="A31" s="18"/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</row>
    <row r="32" spans="1:18" x14ac:dyDescent="0.2">
      <c r="A32" s="18"/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</row>
    <row r="33" spans="1:18" x14ac:dyDescent="0.2">
      <c r="A33" s="18"/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</row>
  </sheetData>
  <sheetProtection algorithmName="SHA-512" hashValue="hNAEJuU7HC18Tl/X2OhkbzEeQuxcRbagzl86c1KnSdUMiUHLmxk/ZNLIdneaGM9B4UGL47xB6GmHNEmE1s2uUw==" saltValue="b8xo7YvPFcH6R0y298SarA==" spinCount="100000" sheet="1" objects="1" scenarios="1" selectLockedCells="1"/>
  <mergeCells count="45">
    <mergeCell ref="A28:O28"/>
    <mergeCell ref="B10:C10"/>
    <mergeCell ref="I24:J24"/>
    <mergeCell ref="B9:C9"/>
    <mergeCell ref="A5:O5"/>
    <mergeCell ref="H13:I13"/>
    <mergeCell ref="I18:J18"/>
    <mergeCell ref="M23:N23"/>
    <mergeCell ref="H12:I12"/>
    <mergeCell ref="I21:J21"/>
    <mergeCell ref="M22:N22"/>
    <mergeCell ref="B21:C21"/>
    <mergeCell ref="L10:M10"/>
    <mergeCell ref="I20:J20"/>
    <mergeCell ref="L13:M13"/>
    <mergeCell ref="M24:N24"/>
    <mergeCell ref="E9:F9"/>
    <mergeCell ref="I19:J19"/>
    <mergeCell ref="B13:C13"/>
    <mergeCell ref="I22:J22"/>
    <mergeCell ref="L12:M12"/>
    <mergeCell ref="M21:N21"/>
    <mergeCell ref="B20:C20"/>
    <mergeCell ref="B24:C24"/>
    <mergeCell ref="E13:F13"/>
    <mergeCell ref="A15:G15"/>
    <mergeCell ref="I23:J23"/>
    <mergeCell ref="B18:C18"/>
    <mergeCell ref="B23:C23"/>
    <mergeCell ref="A1:O1"/>
    <mergeCell ref="B12:C12"/>
    <mergeCell ref="B22:C22"/>
    <mergeCell ref="E10:F10"/>
    <mergeCell ref="A7:O7"/>
    <mergeCell ref="M19:N19"/>
    <mergeCell ref="A3:O3"/>
    <mergeCell ref="A4:O4"/>
    <mergeCell ref="E12:F12"/>
    <mergeCell ref="M18:N18"/>
    <mergeCell ref="H10:I10"/>
    <mergeCell ref="L9:M9"/>
    <mergeCell ref="M20:N20"/>
    <mergeCell ref="B19:C19"/>
    <mergeCell ref="H9:I9"/>
    <mergeCell ref="H15:O15"/>
  </mergeCells>
  <pageMargins left="0.75" right="0.75" top="1" bottom="1" header="0.511811023622047" footer="0.511811023622047"/>
  <pageSetup paperSize="9" orientation="portrait" horizontalDpi="300" verticalDpi="30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38"/>
  <sheetViews>
    <sheetView showGridLines="0" zoomScale="120" zoomScaleNormal="120" workbookViewId="0">
      <selection activeCell="A35" sqref="A35"/>
    </sheetView>
  </sheetViews>
  <sheetFormatPr baseColWidth="10" defaultColWidth="8.6640625" defaultRowHeight="15" x14ac:dyDescent="0.2"/>
  <cols>
    <col min="1" max="14" width="18" customWidth="1"/>
  </cols>
  <sheetData>
    <row r="1" spans="1:17" ht="45" customHeight="1" x14ac:dyDescent="0.2">
      <c r="A1" s="74" t="s">
        <v>85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18"/>
      <c r="P1" s="18"/>
      <c r="Q1" s="18"/>
    </row>
    <row r="2" spans="1:17" ht="39.75" customHeight="1" x14ac:dyDescent="0.2">
      <c r="A2" s="1" t="s">
        <v>86</v>
      </c>
      <c r="B2" s="1" t="s">
        <v>87</v>
      </c>
      <c r="C2" s="1" t="s">
        <v>88</v>
      </c>
      <c r="D2" s="1" t="s">
        <v>89</v>
      </c>
      <c r="E2" s="1" t="s">
        <v>90</v>
      </c>
      <c r="F2" s="1" t="s">
        <v>91</v>
      </c>
      <c r="G2" s="1" t="s">
        <v>92</v>
      </c>
      <c r="H2" s="1" t="s">
        <v>93</v>
      </c>
      <c r="I2" s="1" t="s">
        <v>49</v>
      </c>
      <c r="J2" s="1" t="s">
        <v>94</v>
      </c>
      <c r="K2" s="1" t="s">
        <v>95</v>
      </c>
      <c r="L2" s="1" t="s">
        <v>96</v>
      </c>
      <c r="M2" s="1" t="s">
        <v>97</v>
      </c>
      <c r="N2" s="1" t="s">
        <v>98</v>
      </c>
      <c r="O2" s="18"/>
      <c r="P2" s="18"/>
      <c r="Q2" s="18"/>
    </row>
    <row r="3" spans="1:17" ht="15" customHeight="1" x14ac:dyDescent="0.2">
      <c r="A3" s="22">
        <v>0</v>
      </c>
      <c r="B3" s="23">
        <f>Inputs!C5</f>
        <v>1450000</v>
      </c>
      <c r="C3" s="23">
        <f>Inputs!C5*(1-Inputs!C6)</f>
        <v>1087500</v>
      </c>
      <c r="D3" s="23">
        <f t="shared" ref="D3:D33" si="0">B3-C3</f>
        <v>362500</v>
      </c>
      <c r="E3" s="24">
        <v>0</v>
      </c>
      <c r="F3" s="24">
        <v>0</v>
      </c>
      <c r="G3" s="24">
        <v>0</v>
      </c>
      <c r="H3" s="24">
        <v>0</v>
      </c>
      <c r="I3" s="24">
        <v>0</v>
      </c>
      <c r="J3" s="24">
        <v>0</v>
      </c>
      <c r="K3" s="24">
        <v>0</v>
      </c>
      <c r="L3" s="24">
        <v>0</v>
      </c>
      <c r="M3" s="24">
        <v>0</v>
      </c>
      <c r="N3" s="24">
        <v>0</v>
      </c>
      <c r="O3" s="18"/>
      <c r="P3" s="18"/>
      <c r="Q3" s="18"/>
    </row>
    <row r="4" spans="1:17" ht="15" customHeight="1" x14ac:dyDescent="0.2">
      <c r="A4" s="22">
        <v>1</v>
      </c>
      <c r="B4" s="23">
        <f>B3*(1+Inputs!C19)</f>
        <v>1493500</v>
      </c>
      <c r="C4" s="23">
        <f>IF(1&gt;Inputs!C7,0,IF(Inputs!C8=0,C3-C3/Inputs!C7,FV(Inputs!C8/12,1*12,PMT(Inputs!C8/12,Inputs!C7*12,-Inputs!C5*(1-Inputs!C6)),-Inputs!C5*(1-Inputs!C6))))</f>
        <v>1073510.1189615962</v>
      </c>
      <c r="D4" s="23">
        <f t="shared" si="0"/>
        <v>419989.88103840384</v>
      </c>
      <c r="E4" s="23">
        <f>IF(1&gt;Inputs!C7,0,IF(Inputs!C8=0,0,-PMT(Inputs!C8/12,Inputs!C7*12,Inputs!C5*(1-Inputs!C6))*12))</f>
        <v>76156.257765883667</v>
      </c>
      <c r="F4" s="23">
        <f>Inputs!C14+Inputs!C15+Inputs!C16+Inputs!C17</f>
        <v>5000</v>
      </c>
      <c r="G4" s="23">
        <f>B4*Inputs!C18</f>
        <v>7467.5</v>
      </c>
      <c r="H4" s="23">
        <f t="shared" ref="H4:H33" si="1">H3+E4+F4+G4</f>
        <v>88623.757765883667</v>
      </c>
      <c r="I4" s="23">
        <f>Inputs!F5*52*(1+Inputs!F6)^(1-1)</f>
        <v>49400</v>
      </c>
      <c r="J4" s="23">
        <f>Inputs!F7</f>
        <v>500</v>
      </c>
      <c r="K4" s="23">
        <f t="shared" ref="K4:K33" si="2">K3+I4+J4</f>
        <v>49900</v>
      </c>
      <c r="L4" s="23">
        <f t="shared" ref="L4:L33" si="3">(E4+F4+G4)-(I4+J4)</f>
        <v>38723.757765883667</v>
      </c>
      <c r="M4" s="23">
        <f>(Inputs!C5*Inputs!C6+Inputs!C9+Inputs!C10+Inputs!C11+Inputs!C12+Inputs!C13)*(1+Inputs!F8*(1-Inputs!F9))+IF(L4&gt;0,L4,0)</f>
        <v>473234.75776588358</v>
      </c>
      <c r="N4" s="23">
        <f t="shared" ref="N4:N33" si="4">D4-M4</f>
        <v>-53244.876727479743</v>
      </c>
      <c r="O4" s="18"/>
      <c r="P4" s="18"/>
      <c r="Q4" s="18"/>
    </row>
    <row r="5" spans="1:17" ht="15" customHeight="1" x14ac:dyDescent="0.2">
      <c r="A5" s="2">
        <v>2</v>
      </c>
      <c r="B5" s="3">
        <f>B4*(1+Inputs!C19)</f>
        <v>1538305</v>
      </c>
      <c r="C5" s="3">
        <f>IF(2&gt;Inputs!C7,0,IF(Inputs!C8=0,C3-C3/Inputs!C7,FV(Inputs!C8/12,2*12,PMT(Inputs!C8/12,Inputs!C7*12,-Inputs!C5*(1-Inputs!C6)),-Inputs!C5*(1-Inputs!C6))))</f>
        <v>1058694.2777070352</v>
      </c>
      <c r="D5" s="3">
        <f t="shared" si="0"/>
        <v>479610.72229296481</v>
      </c>
      <c r="E5" s="3">
        <f>IF(2&gt;Inputs!C7,0,IF(Inputs!C8=0,0,-PMT(Inputs!C8/12,Inputs!C7*12,Inputs!C5*(1-Inputs!C6))*12))</f>
        <v>76156.257765883667</v>
      </c>
      <c r="F5" s="3">
        <f>Inputs!C14+Inputs!C15+Inputs!C16+Inputs!C17</f>
        <v>5000</v>
      </c>
      <c r="G5" s="3">
        <f>B5*Inputs!C18</f>
        <v>7691.5250000000005</v>
      </c>
      <c r="H5" s="3">
        <f t="shared" si="1"/>
        <v>177471.54053176733</v>
      </c>
      <c r="I5" s="3">
        <f>Inputs!F5*52*(1+Inputs!F6)^(2-1)</f>
        <v>50882</v>
      </c>
      <c r="J5" s="3">
        <f>Inputs!F7</f>
        <v>500</v>
      </c>
      <c r="K5" s="3">
        <f t="shared" si="2"/>
        <v>101282</v>
      </c>
      <c r="L5" s="3">
        <f t="shared" si="3"/>
        <v>37465.782765883661</v>
      </c>
      <c r="M5" s="3">
        <f>M4*(1+Inputs!F8*(1-Inputs!F9))+IF(L5&gt;0,L5,0)</f>
        <v>531996.10463123198</v>
      </c>
      <c r="N5" s="3">
        <f t="shared" si="4"/>
        <v>-52385.382338267169</v>
      </c>
      <c r="O5" s="18"/>
      <c r="P5" s="18"/>
      <c r="Q5" s="18"/>
    </row>
    <row r="6" spans="1:17" ht="15" customHeight="1" x14ac:dyDescent="0.2">
      <c r="A6" s="22">
        <v>3</v>
      </c>
      <c r="B6" s="23">
        <f>B5*(1+Inputs!C19)</f>
        <v>1584454.1500000001</v>
      </c>
      <c r="C6" s="23">
        <f>IF(3&gt;Inputs!C7,0,IF(Inputs!C8=0,C3-C3/Inputs!C7,FV(Inputs!C8/12,3*12,PMT(Inputs!C8/12,Inputs!C7*12,-Inputs!C5*(1-Inputs!C6)),-Inputs!C5*(1-Inputs!C6))))</f>
        <v>1043003.7116845103</v>
      </c>
      <c r="D6" s="23">
        <f t="shared" si="0"/>
        <v>541450.4383154898</v>
      </c>
      <c r="E6" s="23">
        <f>IF(3&gt;Inputs!C7,0,IF(Inputs!C8=0,0,-PMT(Inputs!C8/12,Inputs!C7*12,Inputs!C5*(1-Inputs!C6))*12))</f>
        <v>76156.257765883667</v>
      </c>
      <c r="F6" s="23">
        <f>Inputs!C14+Inputs!C15+Inputs!C16+Inputs!C17</f>
        <v>5000</v>
      </c>
      <c r="G6" s="23">
        <f>B6*Inputs!C18</f>
        <v>7922.2707500000006</v>
      </c>
      <c r="H6" s="23">
        <f t="shared" si="1"/>
        <v>266550.06904765102</v>
      </c>
      <c r="I6" s="23">
        <f>Inputs!F5*52*(1+Inputs!F6)^(3-1)</f>
        <v>52408.46</v>
      </c>
      <c r="J6" s="23">
        <f>Inputs!F7</f>
        <v>500</v>
      </c>
      <c r="K6" s="23">
        <f t="shared" si="2"/>
        <v>154190.46</v>
      </c>
      <c r="L6" s="23">
        <f t="shared" si="3"/>
        <v>36170.068515883664</v>
      </c>
      <c r="M6" s="23">
        <f>M5*(1+Inputs!F8*(1-Inputs!F9))+IF(L6&gt;0,L6,0)</f>
        <v>592105.99785552104</v>
      </c>
      <c r="N6" s="23">
        <f t="shared" si="4"/>
        <v>-50655.559540031245</v>
      </c>
      <c r="O6" s="18"/>
      <c r="P6" s="18"/>
      <c r="Q6" s="18"/>
    </row>
    <row r="7" spans="1:17" ht="15" customHeight="1" x14ac:dyDescent="0.2">
      <c r="A7" s="2">
        <v>4</v>
      </c>
      <c r="B7" s="3">
        <f>B6*(1+Inputs!C19)</f>
        <v>1631987.7745000003</v>
      </c>
      <c r="C7" s="3">
        <f>IF(4&gt;Inputs!C7,0,IF(Inputs!C8=0,C3-C3/Inputs!C7,FV(Inputs!C8/12,4*12,PMT(Inputs!C8/12,Inputs!C7*12,-Inputs!C5*(1-Inputs!C6)),-Inputs!C5*(1-Inputs!C6))))</f>
        <v>1026386.7772913027</v>
      </c>
      <c r="D7" s="3">
        <f t="shared" si="0"/>
        <v>605600.9972086976</v>
      </c>
      <c r="E7" s="3">
        <f>IF(4&gt;Inputs!C7,0,IF(Inputs!C8=0,0,-PMT(Inputs!C8/12,Inputs!C7*12,Inputs!C5*(1-Inputs!C6))*12))</f>
        <v>76156.257765883667</v>
      </c>
      <c r="F7" s="3">
        <f>Inputs!C14+Inputs!C15+Inputs!C16+Inputs!C17</f>
        <v>5000</v>
      </c>
      <c r="G7" s="3">
        <f>B7*Inputs!C18</f>
        <v>8159.9388725000017</v>
      </c>
      <c r="H7" s="3">
        <f t="shared" si="1"/>
        <v>355866.26568603469</v>
      </c>
      <c r="I7" s="3">
        <f>Inputs!F5*52*(1+Inputs!F6)^(4-1)</f>
        <v>53980.713799999998</v>
      </c>
      <c r="J7" s="3">
        <f>Inputs!F7</f>
        <v>500</v>
      </c>
      <c r="K7" s="3">
        <f t="shared" si="2"/>
        <v>208671.17379999999</v>
      </c>
      <c r="L7" s="3">
        <f t="shared" si="3"/>
        <v>34835.482838383672</v>
      </c>
      <c r="M7" s="3">
        <f>M6*(1+Inputs!F8*(1-Inputs!F9))+IF(L7&gt;0,L7,0)</f>
        <v>653586.25059740304</v>
      </c>
      <c r="N7" s="3">
        <f t="shared" si="4"/>
        <v>-47985.253388705431</v>
      </c>
      <c r="O7" s="18"/>
      <c r="P7" s="18"/>
      <c r="Q7" s="18"/>
    </row>
    <row r="8" spans="1:17" ht="15" customHeight="1" x14ac:dyDescent="0.2">
      <c r="A8" s="22">
        <v>5</v>
      </c>
      <c r="B8" s="23">
        <f>B7*(1+Inputs!C19)</f>
        <v>1680947.4077350004</v>
      </c>
      <c r="C8" s="23">
        <f>IF(5&gt;Inputs!C7,0,IF(Inputs!C8=0,C3-C3/Inputs!C7,FV(Inputs!C8/12,5*12,PMT(Inputs!C8/12,Inputs!C7*12,-Inputs!C5*(1-Inputs!C6)),-Inputs!C5*(1-Inputs!C6))))</f>
        <v>1008788.7818951027</v>
      </c>
      <c r="D8" s="23">
        <f t="shared" si="0"/>
        <v>672158.62583989766</v>
      </c>
      <c r="E8" s="23">
        <f>IF(5&gt;Inputs!C7,0,IF(Inputs!C8=0,0,-PMT(Inputs!C8/12,Inputs!C7*12,Inputs!C5*(1-Inputs!C6))*12))</f>
        <v>76156.257765883667</v>
      </c>
      <c r="F8" s="23">
        <f>Inputs!C14+Inputs!C15+Inputs!C16+Inputs!C17</f>
        <v>5000</v>
      </c>
      <c r="G8" s="23">
        <f>B8*Inputs!C18</f>
        <v>8404.7370386750026</v>
      </c>
      <c r="H8" s="23">
        <f t="shared" si="1"/>
        <v>445427.26049059338</v>
      </c>
      <c r="I8" s="23">
        <f>Inputs!F5*52*(1+Inputs!F6)^(5-1)</f>
        <v>55600.135213999994</v>
      </c>
      <c r="J8" s="23">
        <f>Inputs!F7</f>
        <v>500</v>
      </c>
      <c r="K8" s="23">
        <f t="shared" si="2"/>
        <v>264771.309014</v>
      </c>
      <c r="L8" s="23">
        <f t="shared" si="3"/>
        <v>33460.85959055867</v>
      </c>
      <c r="M8" s="23">
        <f>M7*(1+Inputs!F8*(1-Inputs!F9))+IF(L8&gt;0,L8,0)</f>
        <v>716458.49146484479</v>
      </c>
      <c r="N8" s="23">
        <f t="shared" si="4"/>
        <v>-44299.865624947124</v>
      </c>
      <c r="O8" s="18"/>
      <c r="P8" s="18"/>
      <c r="Q8" s="18"/>
    </row>
    <row r="9" spans="1:17" ht="15" customHeight="1" x14ac:dyDescent="0.2">
      <c r="A9" s="2">
        <v>6</v>
      </c>
      <c r="B9" s="3">
        <f>B8*(1+Inputs!C19)</f>
        <v>1731375.8299670503</v>
      </c>
      <c r="C9" s="3">
        <f>IF(6&gt;Inputs!C7,0,IF(Inputs!C8=0,C3-C3/Inputs!C7,FV(Inputs!C8/12,6*12,PMT(Inputs!C8/12,Inputs!C7*12,-Inputs!C5*(1-Inputs!C6)),-Inputs!C5*(1-Inputs!C6))))</f>
        <v>990151.80381981656</v>
      </c>
      <c r="D9" s="3">
        <f t="shared" si="0"/>
        <v>741224.02614723379</v>
      </c>
      <c r="E9" s="3">
        <f>IF(6&gt;Inputs!C7,0,IF(Inputs!C8=0,0,-PMT(Inputs!C8/12,Inputs!C7*12,Inputs!C5*(1-Inputs!C6))*12))</f>
        <v>76156.257765883667</v>
      </c>
      <c r="F9" s="3">
        <f>Inputs!C14+Inputs!C15+Inputs!C16+Inputs!C17</f>
        <v>5000</v>
      </c>
      <c r="G9" s="3">
        <f>B9*Inputs!C18</f>
        <v>8656.8791498352512</v>
      </c>
      <c r="H9" s="3">
        <f t="shared" si="1"/>
        <v>535240.39740631229</v>
      </c>
      <c r="I9" s="3">
        <f>Inputs!F5*52*(1+Inputs!F6)^(6-1)</f>
        <v>57268.13927041999</v>
      </c>
      <c r="J9" s="3">
        <f>Inputs!F7</f>
        <v>500</v>
      </c>
      <c r="K9" s="3">
        <f t="shared" si="2"/>
        <v>322539.44828442001</v>
      </c>
      <c r="L9" s="3">
        <f t="shared" si="3"/>
        <v>32044.997645298929</v>
      </c>
      <c r="M9" s="3">
        <f>M8*(1+Inputs!F8*(1-Inputs!F9))+IF(L9&gt;0,L9,0)</f>
        <v>780744.12122606172</v>
      </c>
      <c r="N9" s="3">
        <f t="shared" si="4"/>
        <v>-39520.09507882793</v>
      </c>
      <c r="O9" s="18"/>
      <c r="P9" s="18"/>
      <c r="Q9" s="18"/>
    </row>
    <row r="10" spans="1:17" ht="15" customHeight="1" x14ac:dyDescent="0.2">
      <c r="A10" s="22">
        <v>7</v>
      </c>
      <c r="B10" s="23">
        <f>B9*(1+Inputs!C19)</f>
        <v>1783317.1048660618</v>
      </c>
      <c r="C10" s="23">
        <f>IF(7&gt;Inputs!C7,0,IF(Inputs!C8=0,C3-C3/Inputs!C7,FV(Inputs!C8/12,7*12,PMT(Inputs!C8/12,Inputs!C7*12,-Inputs!C5*(1-Inputs!C6)),-Inputs!C5*(1-Inputs!C6))))</f>
        <v>970414.50170336675</v>
      </c>
      <c r="D10" s="23">
        <f t="shared" si="0"/>
        <v>812902.60316269507</v>
      </c>
      <c r="E10" s="23">
        <f>IF(7&gt;Inputs!C7,0,IF(Inputs!C8=0,0,-PMT(Inputs!C8/12,Inputs!C7*12,Inputs!C5*(1-Inputs!C6))*12))</f>
        <v>76156.257765883667</v>
      </c>
      <c r="F10" s="23">
        <f>Inputs!C14+Inputs!C15+Inputs!C16+Inputs!C17</f>
        <v>5000</v>
      </c>
      <c r="G10" s="23">
        <f>B10*Inputs!C18</f>
        <v>8916.5855243303085</v>
      </c>
      <c r="H10" s="23">
        <f t="shared" si="1"/>
        <v>625313.24069652625</v>
      </c>
      <c r="I10" s="23">
        <f>Inputs!F5*52*(1+Inputs!F6)^(7-1)</f>
        <v>58986.183448532596</v>
      </c>
      <c r="J10" s="23">
        <f>Inputs!F7</f>
        <v>500</v>
      </c>
      <c r="K10" s="23">
        <f t="shared" si="2"/>
        <v>382025.63173295261</v>
      </c>
      <c r="L10" s="23">
        <f t="shared" si="3"/>
        <v>30586.659841681379</v>
      </c>
      <c r="M10" s="23">
        <f>M9*(1+Inputs!F8*(1-Inputs!F9))+IF(L10&gt;0,L10,0)</f>
        <v>846464.2665229158</v>
      </c>
      <c r="N10" s="23">
        <f t="shared" si="4"/>
        <v>-33561.663360220729</v>
      </c>
      <c r="O10" s="18"/>
      <c r="P10" s="18"/>
      <c r="Q10" s="18"/>
    </row>
    <row r="11" spans="1:17" ht="15" customHeight="1" x14ac:dyDescent="0.2">
      <c r="A11" s="2">
        <v>8</v>
      </c>
      <c r="B11" s="3">
        <f>B10*(1+Inputs!C19)</f>
        <v>1836816.6180120436</v>
      </c>
      <c r="C11" s="3">
        <f>IF(8&gt;Inputs!C7,0,IF(Inputs!C8=0,C3-C3/Inputs!C7,FV(Inputs!C8/12,8*12,PMT(Inputs!C8/12,Inputs!C7*12,-Inputs!C5*(1-Inputs!C6)),-Inputs!C5*(1-Inputs!C6))))</f>
        <v>949511.91260000807</v>
      </c>
      <c r="D11" s="3">
        <f t="shared" si="0"/>
        <v>887304.70541203558</v>
      </c>
      <c r="E11" s="3">
        <f>IF(8&gt;Inputs!C7,0,IF(Inputs!C8=0,0,-PMT(Inputs!C8/12,Inputs!C7*12,Inputs!C5*(1-Inputs!C6))*12))</f>
        <v>76156.257765883667</v>
      </c>
      <c r="F11" s="3">
        <f>Inputs!C14+Inputs!C15+Inputs!C16+Inputs!C17</f>
        <v>5000</v>
      </c>
      <c r="G11" s="3">
        <f>B11*Inputs!C18</f>
        <v>9184.0830900602177</v>
      </c>
      <c r="H11" s="3">
        <f t="shared" si="1"/>
        <v>715653.58155247022</v>
      </c>
      <c r="I11" s="3">
        <f>Inputs!F5*52*(1+Inputs!F6)^(8-1)</f>
        <v>60755.768951988575</v>
      </c>
      <c r="J11" s="3">
        <f>Inputs!F7</f>
        <v>500</v>
      </c>
      <c r="K11" s="3">
        <f t="shared" si="2"/>
        <v>443281.40068494121</v>
      </c>
      <c r="L11" s="3">
        <f t="shared" si="3"/>
        <v>29084.571903955308</v>
      </c>
      <c r="M11" s="3">
        <f>M10*(1+Inputs!F8*(1-Inputs!F9))+IF(L11&gt;0,L11,0)</f>
        <v>913639.73042040225</v>
      </c>
      <c r="N11" s="3">
        <f t="shared" si="4"/>
        <v>-26335.025008366676</v>
      </c>
      <c r="O11" s="18"/>
      <c r="P11" s="18"/>
      <c r="Q11" s="18"/>
    </row>
    <row r="12" spans="1:17" ht="15" customHeight="1" x14ac:dyDescent="0.2">
      <c r="A12" s="22">
        <v>9</v>
      </c>
      <c r="B12" s="23">
        <f>B11*(1+Inputs!C19)</f>
        <v>1891921.1165524051</v>
      </c>
      <c r="C12" s="23">
        <f>IF(9&gt;Inputs!C7,0,IF(Inputs!C8=0,C3-C3/Inputs!C7,FV(Inputs!C8/12,9*12,PMT(Inputs!C8/12,Inputs!C7*12,-Inputs!C5*(1-Inputs!C6)),-Inputs!C5*(1-Inputs!C6))))</f>
        <v>927375.23816263839</v>
      </c>
      <c r="D12" s="23">
        <f t="shared" si="0"/>
        <v>964545.87838976667</v>
      </c>
      <c r="E12" s="23">
        <f>IF(9&gt;Inputs!C7,0,IF(Inputs!C8=0,0,-PMT(Inputs!C8/12,Inputs!C7*12,Inputs!C5*(1-Inputs!C6))*12))</f>
        <v>76156.257765883667</v>
      </c>
      <c r="F12" s="23">
        <f>Inputs!C14+Inputs!C15+Inputs!C16+Inputs!C17</f>
        <v>5000</v>
      </c>
      <c r="G12" s="23">
        <f>B12*Inputs!C18</f>
        <v>9459.6055827620257</v>
      </c>
      <c r="H12" s="23">
        <f t="shared" si="1"/>
        <v>806269.44490111596</v>
      </c>
      <c r="I12" s="23">
        <f>Inputs!F5*52*(1+Inputs!F6)^(9-1)</f>
        <v>62578.442020548224</v>
      </c>
      <c r="J12" s="23">
        <f>Inputs!F7</f>
        <v>500</v>
      </c>
      <c r="K12" s="23">
        <f t="shared" si="2"/>
        <v>506359.84270548943</v>
      </c>
      <c r="L12" s="23">
        <f t="shared" si="3"/>
        <v>27537.421328097473</v>
      </c>
      <c r="M12" s="23">
        <f>M11*(1+Inputs!F8*(1-Inputs!F9))+IF(L12&gt;0,L12,0)</f>
        <v>982290.93961741775</v>
      </c>
      <c r="N12" s="23">
        <f t="shared" si="4"/>
        <v>-17745.06122765108</v>
      </c>
      <c r="O12" s="18"/>
      <c r="P12" s="18"/>
      <c r="Q12" s="18"/>
    </row>
    <row r="13" spans="1:17" ht="15" customHeight="1" x14ac:dyDescent="0.2">
      <c r="A13" s="2">
        <v>10</v>
      </c>
      <c r="B13" s="3">
        <f>B12*(1+Inputs!C19)</f>
        <v>1948678.7500489773</v>
      </c>
      <c r="C13" s="3">
        <f>IF(10&gt;Inputs!C7,0,IF(Inputs!C8=0,C3-C3/Inputs!C7,FV(Inputs!C8/12,10*12,PMT(Inputs!C8/12,Inputs!C7*12,-Inputs!C5*(1-Inputs!C6)),-Inputs!C5*(1-Inputs!C6))))</f>
        <v>903931.61820135079</v>
      </c>
      <c r="D13" s="3">
        <f t="shared" si="0"/>
        <v>1044747.1318476265</v>
      </c>
      <c r="E13" s="3">
        <f>IF(10&gt;Inputs!C7,0,IF(Inputs!C8=0,0,-PMT(Inputs!C8/12,Inputs!C7*12,Inputs!C5*(1-Inputs!C6))*12))</f>
        <v>76156.257765883667</v>
      </c>
      <c r="F13" s="3">
        <f>Inputs!C14+Inputs!C15+Inputs!C16+Inputs!C17</f>
        <v>5000</v>
      </c>
      <c r="G13" s="3">
        <f>B13*Inputs!C18</f>
        <v>9743.3937502448862</v>
      </c>
      <c r="H13" s="3">
        <f t="shared" si="1"/>
        <v>897169.09641724452</v>
      </c>
      <c r="I13" s="3">
        <f>Inputs!F5*52*(1+Inputs!F6)^(10-1)</f>
        <v>64455.795281164676</v>
      </c>
      <c r="J13" s="3">
        <f>Inputs!F7</f>
        <v>500</v>
      </c>
      <c r="K13" s="3">
        <f t="shared" si="2"/>
        <v>571315.63798665407</v>
      </c>
      <c r="L13" s="3">
        <f t="shared" si="3"/>
        <v>25943.856234963874</v>
      </c>
      <c r="M13" s="3">
        <f>M12*(1+Inputs!F8*(1-Inputs!F9))+IF(L13&gt;0,L13,0)</f>
        <v>1052437.8881351654</v>
      </c>
      <c r="N13" s="3">
        <f t="shared" si="4"/>
        <v>-7690.7562875389121</v>
      </c>
      <c r="O13" s="18"/>
      <c r="P13" s="18"/>
      <c r="Q13" s="18"/>
    </row>
    <row r="14" spans="1:17" ht="15" customHeight="1" x14ac:dyDescent="0.2">
      <c r="A14" s="22">
        <v>11</v>
      </c>
      <c r="B14" s="23">
        <f>B13*(1+Inputs!C19)</f>
        <v>2007139.1125504468</v>
      </c>
      <c r="C14" s="23">
        <f>IF(11&gt;Inputs!C7,0,IF(Inputs!C8=0,C3-C3/Inputs!C7,FV(Inputs!C8/12,11*12,PMT(Inputs!C8/12,Inputs!C7*12,-Inputs!C5*(1-Inputs!C6)),-Inputs!C5*(1-Inputs!C6))))</f>
        <v>879103.89087291877</v>
      </c>
      <c r="D14" s="23">
        <f t="shared" si="0"/>
        <v>1128035.221677528</v>
      </c>
      <c r="E14" s="23">
        <f>IF(11&gt;Inputs!C7,0,IF(Inputs!C8=0,0,-PMT(Inputs!C8/12,Inputs!C7*12,Inputs!C5*(1-Inputs!C6))*12))</f>
        <v>76156.257765883667</v>
      </c>
      <c r="F14" s="23">
        <f>Inputs!C14+Inputs!C15+Inputs!C16+Inputs!C17</f>
        <v>5000</v>
      </c>
      <c r="G14" s="23">
        <f>B14*Inputs!C18</f>
        <v>10035.695562752235</v>
      </c>
      <c r="H14" s="23">
        <f t="shared" si="1"/>
        <v>988361.04974588042</v>
      </c>
      <c r="I14" s="23">
        <f>Inputs!F5*52*(1+Inputs!F6)^(11-1)</f>
        <v>66389.46913959962</v>
      </c>
      <c r="J14" s="23">
        <f>Inputs!F7</f>
        <v>500</v>
      </c>
      <c r="K14" s="23">
        <f t="shared" si="2"/>
        <v>638205.10712625366</v>
      </c>
      <c r="L14" s="23">
        <f t="shared" si="3"/>
        <v>24302.484189036288</v>
      </c>
      <c r="M14" s="23">
        <f>M13*(1+Inputs!F8*(1-Inputs!F9))+IF(L14&gt;0,L14,0)</f>
        <v>1124100.0772902842</v>
      </c>
      <c r="N14" s="23">
        <f t="shared" si="4"/>
        <v>3935.1443872437812</v>
      </c>
      <c r="O14" s="18"/>
      <c r="P14" s="18"/>
      <c r="Q14" s="18"/>
    </row>
    <row r="15" spans="1:17" ht="15" customHeight="1" x14ac:dyDescent="0.2">
      <c r="A15" s="2">
        <v>12</v>
      </c>
      <c r="B15" s="3">
        <f>B14*(1+Inputs!C19)</f>
        <v>2067353.2859269602</v>
      </c>
      <c r="C15" s="3">
        <f>IF(12&gt;Inputs!C7,0,IF(Inputs!C8=0,C3-C3/Inputs!C7,FV(Inputs!C8/12,12*12,PMT(Inputs!C8/12,Inputs!C7*12,-Inputs!C5*(1-Inputs!C6)),-Inputs!C5*(1-Inputs!C6))))</f>
        <v>852810.33871191088</v>
      </c>
      <c r="D15" s="3">
        <f t="shared" si="0"/>
        <v>1214542.9472150493</v>
      </c>
      <c r="E15" s="3">
        <f>IF(12&gt;Inputs!C7,0,IF(Inputs!C8=0,0,-PMT(Inputs!C8/12,Inputs!C7*12,Inputs!C5*(1-Inputs!C6))*12))</f>
        <v>76156.257765883667</v>
      </c>
      <c r="F15" s="3">
        <f>Inputs!C14+Inputs!C15+Inputs!C16+Inputs!C17</f>
        <v>5000</v>
      </c>
      <c r="G15" s="3">
        <f>B15*Inputs!C18</f>
        <v>10336.766429634801</v>
      </c>
      <c r="H15" s="3">
        <f t="shared" si="1"/>
        <v>1079854.0739413989</v>
      </c>
      <c r="I15" s="3">
        <f>Inputs!F5*52*(1+Inputs!F6)^(12-1)</f>
        <v>68381.153213787606</v>
      </c>
      <c r="J15" s="3">
        <f>Inputs!F7</f>
        <v>500</v>
      </c>
      <c r="K15" s="3">
        <f t="shared" si="2"/>
        <v>707086.26034004125</v>
      </c>
      <c r="L15" s="3">
        <f t="shared" si="3"/>
        <v>22611.870981730855</v>
      </c>
      <c r="M15" s="3">
        <f>M14*(1+Inputs!F8*(1-Inputs!F9))+IF(L15&gt;0,L15,0)</f>
        <v>1197296.4517500778</v>
      </c>
      <c r="N15" s="3">
        <f t="shared" si="4"/>
        <v>17246.495464971522</v>
      </c>
      <c r="O15" s="18"/>
      <c r="P15" s="18"/>
      <c r="Q15" s="18"/>
    </row>
    <row r="16" spans="1:17" ht="15" customHeight="1" x14ac:dyDescent="0.2">
      <c r="A16" s="22">
        <v>13</v>
      </c>
      <c r="B16" s="23">
        <f>B15*(1+Inputs!C19)</f>
        <v>2129373.884504769</v>
      </c>
      <c r="C16" s="23">
        <f>IF(13&gt;Inputs!C7,0,IF(Inputs!C8=0,C3-C3/Inputs!C7,FV(Inputs!C8/12,13*12,PMT(Inputs!C8/12,Inputs!C7*12,-Inputs!C5*(1-Inputs!C6)),-Inputs!C5*(1-Inputs!C6))))</f>
        <v>824964.41966752312</v>
      </c>
      <c r="D16" s="23">
        <f t="shared" si="0"/>
        <v>1304409.4648372459</v>
      </c>
      <c r="E16" s="23">
        <f>IF(13&gt;Inputs!C7,0,IF(Inputs!C8=0,0,-PMT(Inputs!C8/12,Inputs!C7*12,Inputs!C5*(1-Inputs!C6))*12))</f>
        <v>76156.257765883667</v>
      </c>
      <c r="F16" s="23">
        <f>Inputs!C14+Inputs!C15+Inputs!C16+Inputs!C17</f>
        <v>5000</v>
      </c>
      <c r="G16" s="23">
        <f>B16*Inputs!C18</f>
        <v>10646.869422523845</v>
      </c>
      <c r="H16" s="23">
        <f t="shared" si="1"/>
        <v>1171657.2011298062</v>
      </c>
      <c r="I16" s="23">
        <f>Inputs!F5*52*(1+Inputs!F6)^(13-1)</f>
        <v>70432.587810201221</v>
      </c>
      <c r="J16" s="23">
        <f>Inputs!F7</f>
        <v>500</v>
      </c>
      <c r="K16" s="23">
        <f t="shared" si="2"/>
        <v>778018.84815024247</v>
      </c>
      <c r="L16" s="23">
        <f t="shared" si="3"/>
        <v>20870.539378206289</v>
      </c>
      <c r="M16" s="23">
        <f>M15*(1+Inputs!F8*(1-Inputs!F9))+IF(L16&gt;0,L16,0)</f>
        <v>1272045.3314570375</v>
      </c>
      <c r="N16" s="23">
        <f t="shared" si="4"/>
        <v>32364.133380208397</v>
      </c>
      <c r="O16" s="18"/>
      <c r="P16" s="18"/>
      <c r="Q16" s="18"/>
    </row>
    <row r="17" spans="1:17" ht="15" customHeight="1" x14ac:dyDescent="0.2">
      <c r="A17" s="2">
        <v>14</v>
      </c>
      <c r="B17" s="3">
        <f>B16*(1+Inputs!C19)</f>
        <v>2193255.1010399121</v>
      </c>
      <c r="C17" s="3">
        <f>IF(14&gt;Inputs!C7,0,IF(Inputs!C8=0,C3-C3/Inputs!C7,FV(Inputs!C8/12,14*12,PMT(Inputs!C8/12,Inputs!C7*12,-Inputs!C5*(1-Inputs!C6)),-Inputs!C5*(1-Inputs!C6))))</f>
        <v>795474.48226087354</v>
      </c>
      <c r="D17" s="3">
        <f t="shared" si="0"/>
        <v>1397780.6187790385</v>
      </c>
      <c r="E17" s="3">
        <f>IF(14&gt;Inputs!C7,0,IF(Inputs!C8=0,0,-PMT(Inputs!C8/12,Inputs!C7*12,Inputs!C5*(1-Inputs!C6))*12))</f>
        <v>76156.257765883667</v>
      </c>
      <c r="F17" s="3">
        <f>Inputs!C14+Inputs!C15+Inputs!C16+Inputs!C17</f>
        <v>5000</v>
      </c>
      <c r="G17" s="3">
        <f>B17*Inputs!C18</f>
        <v>10966.275505199561</v>
      </c>
      <c r="H17" s="3">
        <f t="shared" si="1"/>
        <v>1263779.7344008894</v>
      </c>
      <c r="I17" s="3">
        <f>Inputs!F5*52*(1+Inputs!F6)^(14-1)</f>
        <v>72545.565444507258</v>
      </c>
      <c r="J17" s="3">
        <f>Inputs!F7</f>
        <v>500</v>
      </c>
      <c r="K17" s="3">
        <f t="shared" si="2"/>
        <v>851064.41359474976</v>
      </c>
      <c r="L17" s="3">
        <f t="shared" si="3"/>
        <v>19076.967826575972</v>
      </c>
      <c r="M17" s="3">
        <f>M16*(1+Inputs!F8*(1-Inputs!F9))+IF(L17&gt;0,L17,0)</f>
        <v>1348364.33919918</v>
      </c>
      <c r="N17" s="3">
        <f t="shared" si="4"/>
        <v>49416.279579858528</v>
      </c>
      <c r="O17" s="18"/>
      <c r="P17" s="18"/>
      <c r="Q17" s="18"/>
    </row>
    <row r="18" spans="1:17" ht="15" customHeight="1" x14ac:dyDescent="0.2">
      <c r="A18" s="22">
        <v>15</v>
      </c>
      <c r="B18" s="23">
        <f>B17*(1+Inputs!C19)</f>
        <v>2259052.7540711095</v>
      </c>
      <c r="C18" s="23">
        <f>IF(15&gt;Inputs!C7,0,IF(Inputs!C8=0,C3-C3/Inputs!C7,FV(Inputs!C8/12,15*12,PMT(Inputs!C8/12,Inputs!C7*12,-Inputs!C5*(1-Inputs!C6)),-Inputs!C5*(1-Inputs!C6))))</f>
        <v>764243.46392523055</v>
      </c>
      <c r="D18" s="23">
        <f t="shared" si="0"/>
        <v>1494809.2901458789</v>
      </c>
      <c r="E18" s="23">
        <f>IF(15&gt;Inputs!C7,0,IF(Inputs!C8=0,0,-PMT(Inputs!C8/12,Inputs!C7*12,Inputs!C5*(1-Inputs!C6))*12))</f>
        <v>76156.257765883667</v>
      </c>
      <c r="F18" s="23">
        <f>Inputs!C14+Inputs!C15+Inputs!C16+Inputs!C17</f>
        <v>5000</v>
      </c>
      <c r="G18" s="23">
        <f>B18*Inputs!C18</f>
        <v>11295.263770355548</v>
      </c>
      <c r="H18" s="23">
        <f t="shared" si="1"/>
        <v>1356231.2559371286</v>
      </c>
      <c r="I18" s="23">
        <f>Inputs!F5*52*(1+Inputs!F6)^(15-1)</f>
        <v>74721.932407842483</v>
      </c>
      <c r="J18" s="23">
        <f>Inputs!F7</f>
        <v>500</v>
      </c>
      <c r="K18" s="23">
        <f t="shared" si="2"/>
        <v>926286.34600259224</v>
      </c>
      <c r="L18" s="23">
        <f t="shared" si="3"/>
        <v>17229.589128396736</v>
      </c>
      <c r="M18" s="23">
        <f>M17*(1+Inputs!F8*(1-Inputs!F9))+IF(L18&gt;0,L18,0)</f>
        <v>1426270.3235915396</v>
      </c>
      <c r="N18" s="23">
        <f t="shared" si="4"/>
        <v>68538.966554339277</v>
      </c>
      <c r="O18" s="18"/>
      <c r="P18" s="18"/>
      <c r="Q18" s="18"/>
    </row>
    <row r="19" spans="1:17" ht="15" customHeight="1" x14ac:dyDescent="0.2">
      <c r="A19" s="2">
        <v>16</v>
      </c>
      <c r="B19" s="3">
        <f>B18*(1+Inputs!C19)</f>
        <v>2326824.3366932427</v>
      </c>
      <c r="C19" s="3">
        <f>IF(16&gt;Inputs!C7,0,IF(Inputs!C8=0,C3-C3/Inputs!C7,FV(Inputs!C8/12,16*12,PMT(Inputs!C8/12,Inputs!C7*12,-Inputs!C5*(1-Inputs!C6)),-Inputs!C5*(1-Inputs!C6))))</f>
        <v>731168.57153629907</v>
      </c>
      <c r="D19" s="3">
        <f t="shared" si="0"/>
        <v>1595655.7651569436</v>
      </c>
      <c r="E19" s="3">
        <f>IF(16&gt;Inputs!C7,0,IF(Inputs!C8=0,0,-PMT(Inputs!C8/12,Inputs!C7*12,Inputs!C5*(1-Inputs!C6))*12))</f>
        <v>76156.257765883667</v>
      </c>
      <c r="F19" s="3">
        <f>Inputs!C14+Inputs!C15+Inputs!C16+Inputs!C17</f>
        <v>5000</v>
      </c>
      <c r="G19" s="3">
        <f>B19*Inputs!C18</f>
        <v>11634.121683466214</v>
      </c>
      <c r="H19" s="3">
        <f t="shared" si="1"/>
        <v>1449021.6353864784</v>
      </c>
      <c r="I19" s="3">
        <f>Inputs!F5*52*(1+Inputs!F6)^(16-1)</f>
        <v>76963.59038007776</v>
      </c>
      <c r="J19" s="3">
        <f>Inputs!F7</f>
        <v>500</v>
      </c>
      <c r="K19" s="3">
        <f t="shared" si="2"/>
        <v>1003749.93638267</v>
      </c>
      <c r="L19" s="3">
        <f t="shared" si="3"/>
        <v>15326.789069272127</v>
      </c>
      <c r="M19" s="3">
        <f>M18*(1+Inputs!F8*(1-Inputs!F9))+IF(L19&gt;0,L19,0)</f>
        <v>1505779.277222431</v>
      </c>
      <c r="N19" s="3">
        <f t="shared" si="4"/>
        <v>89876.487934512552</v>
      </c>
      <c r="O19" s="18"/>
      <c r="P19" s="18"/>
      <c r="Q19" s="18"/>
    </row>
    <row r="20" spans="1:17" ht="15" customHeight="1" x14ac:dyDescent="0.2">
      <c r="A20" s="22">
        <v>17</v>
      </c>
      <c r="B20" s="23">
        <f>B19*(1+Inputs!C19)</f>
        <v>2396629.0667940401</v>
      </c>
      <c r="C20" s="23">
        <f>IF(17&gt;Inputs!C7,0,IF(Inputs!C8=0,C3-C3/Inputs!C7,FV(Inputs!C8/12,17*12,PMT(Inputs!C8/12,Inputs!C7*12,-Inputs!C5*(1-Inputs!C6)),-Inputs!C5*(1-Inputs!C6))))</f>
        <v>696140.94308106741</v>
      </c>
      <c r="D20" s="23">
        <f t="shared" si="0"/>
        <v>1700488.1237129727</v>
      </c>
      <c r="E20" s="23">
        <f>IF(17&gt;Inputs!C7,0,IF(Inputs!C8=0,0,-PMT(Inputs!C8/12,Inputs!C7*12,Inputs!C5*(1-Inputs!C6))*12))</f>
        <v>76156.257765883667</v>
      </c>
      <c r="F20" s="23">
        <f>Inputs!C14+Inputs!C15+Inputs!C16+Inputs!C17</f>
        <v>5000</v>
      </c>
      <c r="G20" s="23">
        <f>B20*Inputs!C18</f>
        <v>11983.1453339702</v>
      </c>
      <c r="H20" s="23">
        <f t="shared" si="1"/>
        <v>1542161.0384863322</v>
      </c>
      <c r="I20" s="23">
        <f>Inputs!F5*52*(1+Inputs!F6)^(17-1)</f>
        <v>79272.498091480084</v>
      </c>
      <c r="J20" s="23">
        <f>Inputs!F7</f>
        <v>500</v>
      </c>
      <c r="K20" s="23">
        <f t="shared" si="2"/>
        <v>1083522.43447415</v>
      </c>
      <c r="L20" s="23">
        <f t="shared" si="3"/>
        <v>13366.905008373782</v>
      </c>
      <c r="M20" s="23">
        <f>M19*(1+Inputs!F8*(1-Inputs!F9))+IF(L20&gt;0,L20,0)</f>
        <v>1586906.2497058141</v>
      </c>
      <c r="N20" s="23">
        <f t="shared" si="4"/>
        <v>113581.87400715868</v>
      </c>
      <c r="O20" s="18"/>
      <c r="P20" s="18"/>
      <c r="Q20" s="18"/>
    </row>
    <row r="21" spans="1:17" ht="15" customHeight="1" x14ac:dyDescent="0.2">
      <c r="A21" s="2">
        <v>18</v>
      </c>
      <c r="B21" s="3">
        <f>B20*(1+Inputs!C19)</f>
        <v>2468527.9387978613</v>
      </c>
      <c r="C21" s="3">
        <f>IF(18&gt;Inputs!C7,0,IF(Inputs!C8=0,C3-C3/Inputs!C7,FV(Inputs!C8/12,18*12,PMT(Inputs!C8/12,Inputs!C7*12,-Inputs!C5*(1-Inputs!C6)),-Inputs!C5*(1-Inputs!C6))))</f>
        <v>659045.28935164493</v>
      </c>
      <c r="D21" s="3">
        <f t="shared" si="0"/>
        <v>1809482.6494462164</v>
      </c>
      <c r="E21" s="3">
        <f>IF(18&gt;Inputs!C7,0,IF(Inputs!C8=0,0,-PMT(Inputs!C8/12,Inputs!C7*12,Inputs!C5*(1-Inputs!C6))*12))</f>
        <v>76156.257765883667</v>
      </c>
      <c r="F21" s="3">
        <f>Inputs!C14+Inputs!C15+Inputs!C16+Inputs!C17</f>
        <v>5000</v>
      </c>
      <c r="G21" s="3">
        <f>B21*Inputs!C18</f>
        <v>12342.639693989307</v>
      </c>
      <c r="H21" s="3">
        <f t="shared" si="1"/>
        <v>1635659.9359462052</v>
      </c>
      <c r="I21" s="3">
        <f>Inputs!F5*52*(1+Inputs!F6)^(18-1)</f>
        <v>81650.673034224485</v>
      </c>
      <c r="J21" s="3">
        <f>Inputs!F7</f>
        <v>500</v>
      </c>
      <c r="K21" s="3">
        <f t="shared" si="2"/>
        <v>1165673.1075083744</v>
      </c>
      <c r="L21" s="3">
        <f t="shared" si="3"/>
        <v>11348.224425648485</v>
      </c>
      <c r="M21" s="3">
        <f>M20*(1+Inputs!F8*(1-Inputs!F9))+IF(L21&gt;0,L21,0)</f>
        <v>1669665.2553682241</v>
      </c>
      <c r="N21" s="3">
        <f t="shared" si="4"/>
        <v>139817.3940779923</v>
      </c>
      <c r="O21" s="18"/>
      <c r="P21" s="18"/>
      <c r="Q21" s="18"/>
    </row>
    <row r="22" spans="1:17" ht="15" customHeight="1" x14ac:dyDescent="0.2">
      <c r="A22" s="22">
        <v>19</v>
      </c>
      <c r="B22" s="23">
        <f>B21*(1+Inputs!C19)</f>
        <v>2542583.7769617974</v>
      </c>
      <c r="C22" s="23">
        <f>IF(19&gt;Inputs!C7,0,IF(Inputs!C8=0,C3-C3/Inputs!C7,FV(Inputs!C8/12,19*12,PMT(Inputs!C8/12,Inputs!C7*12,-Inputs!C5*(1-Inputs!C6)),-Inputs!C5*(1-Inputs!C6))))</f>
        <v>619759.51448475663</v>
      </c>
      <c r="D22" s="23">
        <f t="shared" si="0"/>
        <v>1922824.2624770408</v>
      </c>
      <c r="E22" s="23">
        <f>IF(19&gt;Inputs!C7,0,IF(Inputs!C8=0,0,-PMT(Inputs!C8/12,Inputs!C7*12,Inputs!C5*(1-Inputs!C6))*12))</f>
        <v>76156.257765883667</v>
      </c>
      <c r="F22" s="23">
        <f>Inputs!C14+Inputs!C15+Inputs!C16+Inputs!C17</f>
        <v>5000</v>
      </c>
      <c r="G22" s="23">
        <f>B22*Inputs!C18</f>
        <v>12712.918884808987</v>
      </c>
      <c r="H22" s="23">
        <f t="shared" si="1"/>
        <v>1729529.1125968976</v>
      </c>
      <c r="I22" s="23">
        <f>Inputs!F5*52*(1+Inputs!F6)^(19-1)</f>
        <v>84100.19322525122</v>
      </c>
      <c r="J22" s="23">
        <f>Inputs!F7</f>
        <v>500</v>
      </c>
      <c r="K22" s="23">
        <f t="shared" si="2"/>
        <v>1250273.3007336257</v>
      </c>
      <c r="L22" s="23">
        <f t="shared" si="3"/>
        <v>9268.9834254414309</v>
      </c>
      <c r="M22" s="23">
        <f>M21*(1+Inputs!F8*(1-Inputs!F9))+IF(L22&gt;0,L22,0)</f>
        <v>1754069.1752852355</v>
      </c>
      <c r="N22" s="23">
        <f t="shared" si="4"/>
        <v>168755.08719180524</v>
      </c>
      <c r="O22" s="18"/>
      <c r="P22" s="18"/>
      <c r="Q22" s="18"/>
    </row>
    <row r="23" spans="1:17" ht="15" customHeight="1" x14ac:dyDescent="0.2">
      <c r="A23" s="2">
        <v>20</v>
      </c>
      <c r="B23" s="3">
        <f>B22*(1+Inputs!C19)</f>
        <v>2618861.2902706512</v>
      </c>
      <c r="C23" s="3">
        <f>IF(20&gt;Inputs!C7,0,IF(Inputs!C8=0,C3-C3/Inputs!C7,FV(Inputs!C8/12,20*12,PMT(Inputs!C8/12,Inputs!C7*12,-Inputs!C5*(1-Inputs!C6)),-Inputs!C5*(1-Inputs!C6))))</f>
        <v>578154.31409796095</v>
      </c>
      <c r="D23" s="3">
        <f t="shared" si="0"/>
        <v>2040706.9761726903</v>
      </c>
      <c r="E23" s="3">
        <f>IF(20&gt;Inputs!C7,0,IF(Inputs!C8=0,0,-PMT(Inputs!C8/12,Inputs!C7*12,Inputs!C5*(1-Inputs!C6))*12))</f>
        <v>76156.257765883667</v>
      </c>
      <c r="F23" s="3">
        <f>Inputs!C14+Inputs!C15+Inputs!C16+Inputs!C17</f>
        <v>5000</v>
      </c>
      <c r="G23" s="3">
        <f>B23*Inputs!C18</f>
        <v>13094.306451353257</v>
      </c>
      <c r="H23" s="3">
        <f t="shared" si="1"/>
        <v>1823779.6768141345</v>
      </c>
      <c r="I23" s="3">
        <f>Inputs!F5*52*(1+Inputs!F6)^(20-1)</f>
        <v>86623.199022008761</v>
      </c>
      <c r="J23" s="3">
        <f>Inputs!F7</f>
        <v>500</v>
      </c>
      <c r="K23" s="3">
        <f t="shared" si="2"/>
        <v>1337396.4997556345</v>
      </c>
      <c r="L23" s="3">
        <f t="shared" si="3"/>
        <v>7127.3651952281652</v>
      </c>
      <c r="M23" s="3">
        <f>M22*(1+Inputs!F8*(1-Inputs!F9))+IF(L23&gt;0,L23,0)</f>
        <v>1840129.6533682991</v>
      </c>
      <c r="N23" s="3">
        <f t="shared" si="4"/>
        <v>200577.32280439115</v>
      </c>
      <c r="O23" s="18"/>
      <c r="P23" s="18"/>
      <c r="Q23" s="18"/>
    </row>
    <row r="24" spans="1:17" ht="15" customHeight="1" x14ac:dyDescent="0.2">
      <c r="A24" s="22">
        <v>21</v>
      </c>
      <c r="B24" s="23">
        <f>B23*(1+Inputs!C19)</f>
        <v>2697427.1289787707</v>
      </c>
      <c r="C24" s="23">
        <f>IF(21&gt;Inputs!C7,0,IF(Inputs!C8=0,C3-C3/Inputs!C7,FV(Inputs!C8/12,21*12,PMT(Inputs!C8/12,Inputs!C7*12,-Inputs!C5*(1-Inputs!C6)),-Inputs!C5*(1-Inputs!C6))))</f>
        <v>534092.74969989061</v>
      </c>
      <c r="D24" s="23">
        <f t="shared" si="0"/>
        <v>2163334.3792788801</v>
      </c>
      <c r="E24" s="23">
        <f>IF(21&gt;Inputs!C7,0,IF(Inputs!C8=0,0,-PMT(Inputs!C8/12,Inputs!C7*12,Inputs!C5*(1-Inputs!C6))*12))</f>
        <v>76156.257765883667</v>
      </c>
      <c r="F24" s="23">
        <f>Inputs!C14+Inputs!C15+Inputs!C16+Inputs!C17</f>
        <v>5000</v>
      </c>
      <c r="G24" s="23">
        <f>B24*Inputs!C18</f>
        <v>13487.135644893853</v>
      </c>
      <c r="H24" s="23">
        <f t="shared" si="1"/>
        <v>1918423.0702249119</v>
      </c>
      <c r="I24" s="23">
        <f>Inputs!F5*52*(1+Inputs!F6)^(21-1)</f>
        <v>89221.894992669011</v>
      </c>
      <c r="J24" s="23">
        <f>Inputs!F7</f>
        <v>500</v>
      </c>
      <c r="K24" s="23">
        <f t="shared" si="2"/>
        <v>1427118.3947483036</v>
      </c>
      <c r="L24" s="23">
        <f t="shared" si="3"/>
        <v>4921.4984181085165</v>
      </c>
      <c r="M24" s="23">
        <f>M23*(1+Inputs!F8*(1-Inputs!F9))+IF(L24&gt;0,L24,0)</f>
        <v>1927856.986187981</v>
      </c>
      <c r="N24" s="23">
        <f t="shared" si="4"/>
        <v>235477.3930908991</v>
      </c>
      <c r="O24" s="18"/>
      <c r="P24" s="18"/>
      <c r="Q24" s="18"/>
    </row>
    <row r="25" spans="1:17" ht="15" customHeight="1" x14ac:dyDescent="0.2">
      <c r="A25" s="2">
        <v>22</v>
      </c>
      <c r="B25" s="3">
        <f>B24*(1+Inputs!C19)</f>
        <v>2778349.9428481339</v>
      </c>
      <c r="C25" s="3">
        <f>IF(22&gt;Inputs!C7,0,IF(Inputs!C8=0,C3-C3/Inputs!C7,FV(Inputs!C8/12,22*12,PMT(Inputs!C8/12,Inputs!C7*12,-Inputs!C5*(1-Inputs!C6)),-Inputs!C5*(1-Inputs!C6))))</f>
        <v>487429.79797375621</v>
      </c>
      <c r="D25" s="3">
        <f t="shared" si="0"/>
        <v>2290920.1448743776</v>
      </c>
      <c r="E25" s="3">
        <f>IF(22&gt;Inputs!C7,0,IF(Inputs!C8=0,0,-PMT(Inputs!C8/12,Inputs!C7*12,Inputs!C5*(1-Inputs!C6))*12))</f>
        <v>76156.257765883667</v>
      </c>
      <c r="F25" s="3">
        <f>Inputs!C14+Inputs!C15+Inputs!C16+Inputs!C17</f>
        <v>5000</v>
      </c>
      <c r="G25" s="3">
        <f>B25*Inputs!C18</f>
        <v>13891.74971424067</v>
      </c>
      <c r="H25" s="3">
        <f t="shared" si="1"/>
        <v>2013471.0777050362</v>
      </c>
      <c r="I25" s="3">
        <f>Inputs!F5*52*(1+Inputs!F6)^(22-1)</f>
        <v>91898.551842449073</v>
      </c>
      <c r="J25" s="3">
        <f>Inputs!F7</f>
        <v>500</v>
      </c>
      <c r="K25" s="3">
        <f t="shared" si="2"/>
        <v>1519516.9465907526</v>
      </c>
      <c r="L25" s="3">
        <f t="shared" si="3"/>
        <v>2649.4556376752589</v>
      </c>
      <c r="M25" s="3">
        <f>M24*(1+Inputs!F8*(1-Inputs!F9))+IF(L25&gt;0,L25,0)</f>
        <v>2017260.0062041152</v>
      </c>
      <c r="N25" s="3">
        <f t="shared" si="4"/>
        <v>273660.13867026241</v>
      </c>
      <c r="O25" s="18"/>
      <c r="P25" s="18"/>
      <c r="Q25" s="18"/>
    </row>
    <row r="26" spans="1:17" ht="15" customHeight="1" x14ac:dyDescent="0.2">
      <c r="A26" s="22">
        <v>23</v>
      </c>
      <c r="B26" s="23">
        <f>B25*(1+Inputs!C19)</f>
        <v>2861700.4411335778</v>
      </c>
      <c r="C26" s="23">
        <f>IF(23&gt;Inputs!C7,0,IF(Inputs!C8=0,C3-C3/Inputs!C7,FV(Inputs!C8/12,23*12,PMT(Inputs!C8/12,Inputs!C7*12,-Inputs!C5*(1-Inputs!C6)),-Inputs!C5*(1-Inputs!C6))))</f>
        <v>438011.87345060846</v>
      </c>
      <c r="D26" s="23">
        <f t="shared" si="0"/>
        <v>2423688.5676829694</v>
      </c>
      <c r="E26" s="23">
        <f>IF(23&gt;Inputs!C7,0,IF(Inputs!C8=0,0,-PMT(Inputs!C8/12,Inputs!C7*12,Inputs!C5*(1-Inputs!C6))*12))</f>
        <v>76156.257765883667</v>
      </c>
      <c r="F26" s="23">
        <f>Inputs!C14+Inputs!C15+Inputs!C16+Inputs!C17</f>
        <v>5000</v>
      </c>
      <c r="G26" s="23">
        <f>B26*Inputs!C18</f>
        <v>14308.50220566789</v>
      </c>
      <c r="H26" s="23">
        <f t="shared" si="1"/>
        <v>2108935.8376765875</v>
      </c>
      <c r="I26" s="23">
        <f>Inputs!F5*52*(1+Inputs!F6)^(23-1)</f>
        <v>94655.508397722559</v>
      </c>
      <c r="J26" s="23">
        <f>Inputs!F7</f>
        <v>500</v>
      </c>
      <c r="K26" s="23">
        <f t="shared" si="2"/>
        <v>1614672.4549884752</v>
      </c>
      <c r="L26" s="23">
        <f t="shared" si="3"/>
        <v>309.25157382899488</v>
      </c>
      <c r="M26" s="23">
        <f>M25*(1+Inputs!F8*(1-Inputs!F9))+IF(L26&gt;0,L26,0)</f>
        <v>2108345.9580571293</v>
      </c>
      <c r="N26" s="23">
        <f t="shared" si="4"/>
        <v>315342.60962584009</v>
      </c>
      <c r="O26" s="18"/>
      <c r="P26" s="18"/>
      <c r="Q26" s="18"/>
    </row>
    <row r="27" spans="1:17" ht="15" customHeight="1" x14ac:dyDescent="0.2">
      <c r="A27" s="2">
        <v>24</v>
      </c>
      <c r="B27" s="3">
        <f>B26*(1+Inputs!C19)</f>
        <v>2947551.4543675855</v>
      </c>
      <c r="C27" s="3">
        <f>IF(24&gt;Inputs!C7,0,IF(Inputs!C8=0,C3-C3/Inputs!C7,FV(Inputs!C8/12,24*12,PMT(Inputs!C8/12,Inputs!C7*12,-Inputs!C5*(1-Inputs!C6)),-Inputs!C5*(1-Inputs!C6))))</f>
        <v>385676.32300132792</v>
      </c>
      <c r="D27" s="3">
        <f t="shared" si="0"/>
        <v>2561875.1313662576</v>
      </c>
      <c r="E27" s="3">
        <f>IF(24&gt;Inputs!C7,0,IF(Inputs!C8=0,0,-PMT(Inputs!C8/12,Inputs!C7*12,Inputs!C5*(1-Inputs!C6))*12))</f>
        <v>76156.257765883667</v>
      </c>
      <c r="F27" s="3">
        <f>Inputs!C14+Inputs!C15+Inputs!C16+Inputs!C17</f>
        <v>5000</v>
      </c>
      <c r="G27" s="3">
        <f>B27*Inputs!C18</f>
        <v>14737.757271837927</v>
      </c>
      <c r="H27" s="3">
        <f t="shared" si="1"/>
        <v>2204829.852714309</v>
      </c>
      <c r="I27" s="3">
        <f>Inputs!F5*52*(1+Inputs!F6)^(24-1)</f>
        <v>97495.173649654243</v>
      </c>
      <c r="J27" s="3">
        <f>Inputs!F7</f>
        <v>500</v>
      </c>
      <c r="K27" s="3">
        <f t="shared" si="2"/>
        <v>1712667.6286381294</v>
      </c>
      <c r="L27" s="3">
        <f t="shared" si="3"/>
        <v>-2101.158611932653</v>
      </c>
      <c r="M27" s="3">
        <f>M26*(1+Inputs!F8*(1-Inputs!F9))+IF(L27&gt;0,L27,0)</f>
        <v>2203221.5261697001</v>
      </c>
      <c r="N27" s="3">
        <f t="shared" si="4"/>
        <v>358653.60519655747</v>
      </c>
      <c r="O27" s="18"/>
      <c r="P27" s="18"/>
      <c r="Q27" s="18"/>
    </row>
    <row r="28" spans="1:17" ht="15" customHeight="1" x14ac:dyDescent="0.2">
      <c r="A28" s="22">
        <v>25</v>
      </c>
      <c r="B28" s="23">
        <f>B27*(1+Inputs!C19)</f>
        <v>3035977.9979986129</v>
      </c>
      <c r="C28" s="23">
        <f>IF(25&gt;Inputs!C7,0,IF(Inputs!C8=0,C3-C3/Inputs!C7,FV(Inputs!C8/12,25*12,PMT(Inputs!C8/12,Inputs!C7*12,-Inputs!C5*(1-Inputs!C6)),-Inputs!C5*(1-Inputs!C6))))</f>
        <v>330250.89048349299</v>
      </c>
      <c r="D28" s="23">
        <f t="shared" si="0"/>
        <v>2705727.1075151199</v>
      </c>
      <c r="E28" s="23">
        <f>IF(25&gt;Inputs!C7,0,IF(Inputs!C8=0,0,-PMT(Inputs!C8/12,Inputs!C7*12,Inputs!C5*(1-Inputs!C6))*12))</f>
        <v>76156.257765883667</v>
      </c>
      <c r="F28" s="23">
        <f>Inputs!C14+Inputs!C15+Inputs!C16+Inputs!C17</f>
        <v>5000</v>
      </c>
      <c r="G28" s="23">
        <f>B28*Inputs!C18</f>
        <v>15179.889989993066</v>
      </c>
      <c r="H28" s="23">
        <f t="shared" si="1"/>
        <v>2301166.0004701857</v>
      </c>
      <c r="I28" s="23">
        <f>Inputs!F5*52*(1+Inputs!F6)^(25-1)</f>
        <v>100420.02885914384</v>
      </c>
      <c r="J28" s="23">
        <f>Inputs!F7</f>
        <v>500</v>
      </c>
      <c r="K28" s="23">
        <f t="shared" si="2"/>
        <v>1813587.6574972733</v>
      </c>
      <c r="L28" s="23">
        <f t="shared" si="3"/>
        <v>-4583.8811032671074</v>
      </c>
      <c r="M28" s="23">
        <f>M27*(1+Inputs!F8*(1-Inputs!F9))+IF(L28&gt;0,L28,0)</f>
        <v>2302366.4948473363</v>
      </c>
      <c r="N28" s="23">
        <f t="shared" si="4"/>
        <v>403360.61266778363</v>
      </c>
      <c r="O28" s="18"/>
      <c r="P28" s="18"/>
      <c r="Q28" s="18"/>
    </row>
    <row r="29" spans="1:17" ht="15" customHeight="1" x14ac:dyDescent="0.2">
      <c r="A29" s="2">
        <v>26</v>
      </c>
      <c r="B29" s="3">
        <f>B28*(1+Inputs!C19)</f>
        <v>3127057.3379385713</v>
      </c>
      <c r="C29" s="3">
        <f>IF(26&gt;Inputs!C7,0,IF(Inputs!C8=0,C3-C3/Inputs!C7,FV(Inputs!C8/12,26*12,PMT(Inputs!C8/12,Inputs!C7*12,-Inputs!C5*(1-Inputs!C6)),-Inputs!C5*(1-Inputs!C6))))</f>
        <v>271553.14978109486</v>
      </c>
      <c r="D29" s="3">
        <f t="shared" si="0"/>
        <v>2855504.1881574765</v>
      </c>
      <c r="E29" s="3">
        <f>IF(26&gt;Inputs!C7,0,IF(Inputs!C8=0,0,-PMT(Inputs!C8/12,Inputs!C7*12,Inputs!C5*(1-Inputs!C6))*12))</f>
        <v>76156.257765883667</v>
      </c>
      <c r="F29" s="3">
        <f>Inputs!C14+Inputs!C15+Inputs!C16+Inputs!C17</f>
        <v>5000</v>
      </c>
      <c r="G29" s="3">
        <f>B29*Inputs!C18</f>
        <v>15635.286689692857</v>
      </c>
      <c r="H29" s="3">
        <f t="shared" si="1"/>
        <v>2397957.5449257619</v>
      </c>
      <c r="I29" s="3">
        <f>Inputs!F5*52*(1+Inputs!F6)^(26-1)</f>
        <v>103432.62972491817</v>
      </c>
      <c r="J29" s="3">
        <f>Inputs!F7</f>
        <v>500</v>
      </c>
      <c r="K29" s="3">
        <f t="shared" si="2"/>
        <v>1917520.2872221915</v>
      </c>
      <c r="L29" s="3">
        <f t="shared" si="3"/>
        <v>-7141.0852693416382</v>
      </c>
      <c r="M29" s="3">
        <f>M28*(1+Inputs!F8*(1-Inputs!F9))+IF(L29&gt;0,L29,0)</f>
        <v>2405972.9871154665</v>
      </c>
      <c r="N29" s="3">
        <f t="shared" si="4"/>
        <v>449531.20104200998</v>
      </c>
      <c r="O29" s="18"/>
      <c r="P29" s="18"/>
      <c r="Q29" s="18"/>
    </row>
    <row r="30" spans="1:17" ht="15" customHeight="1" x14ac:dyDescent="0.2">
      <c r="A30" s="22">
        <v>27</v>
      </c>
      <c r="B30" s="23">
        <f>B29*(1+Inputs!C19)</f>
        <v>3220869.0580767286</v>
      </c>
      <c r="C30" s="23">
        <f>IF(27&gt;Inputs!C7,0,IF(Inputs!C8=0,C3-C3/Inputs!C7,FV(Inputs!C8/12,27*12,PMT(Inputs!C8/12,Inputs!C7*12,-Inputs!C5*(1-Inputs!C6)),-Inputs!C5*(1-Inputs!C6))))</f>
        <v>209389.90437101573</v>
      </c>
      <c r="D30" s="23">
        <f t="shared" si="0"/>
        <v>3011479.1537057129</v>
      </c>
      <c r="E30" s="23">
        <f>IF(27&gt;Inputs!C7,0,IF(Inputs!C8=0,0,-PMT(Inputs!C8/12,Inputs!C7*12,Inputs!C5*(1-Inputs!C6))*12))</f>
        <v>76156.257765883667</v>
      </c>
      <c r="F30" s="23">
        <f>Inputs!C14+Inputs!C15+Inputs!C16+Inputs!C17</f>
        <v>5000</v>
      </c>
      <c r="G30" s="23">
        <f>B30*Inputs!C18</f>
        <v>16104.345290383644</v>
      </c>
      <c r="H30" s="23">
        <f t="shared" si="1"/>
        <v>2495218.1479820292</v>
      </c>
      <c r="I30" s="23">
        <f>Inputs!F5*52*(1+Inputs!F6)^(27-1)</f>
        <v>106535.60861666572</v>
      </c>
      <c r="J30" s="23">
        <f>Inputs!F7</f>
        <v>500</v>
      </c>
      <c r="K30" s="23">
        <f t="shared" si="2"/>
        <v>2024555.8958388572</v>
      </c>
      <c r="L30" s="23">
        <f t="shared" si="3"/>
        <v>-9775.0055603984074</v>
      </c>
      <c r="M30" s="23">
        <f>M29*(1+Inputs!F8*(1-Inputs!F9))+IF(L30&gt;0,L30,0)</f>
        <v>2514241.7715356625</v>
      </c>
      <c r="N30" s="23">
        <f t="shared" si="4"/>
        <v>497237.3821700504</v>
      </c>
      <c r="O30" s="18"/>
      <c r="P30" s="18"/>
      <c r="Q30" s="18"/>
    </row>
    <row r="31" spans="1:17" ht="15" customHeight="1" x14ac:dyDescent="0.2">
      <c r="A31" s="2">
        <v>28</v>
      </c>
      <c r="B31" s="3">
        <f>B30*(1+Inputs!C19)</f>
        <v>3317495.1298190304</v>
      </c>
      <c r="C31" s="3">
        <f>IF(28&gt;Inputs!C7,0,IF(Inputs!C8=0,C3-C3/Inputs!C7,FV(Inputs!C8/12,28*12,PMT(Inputs!C8/12,Inputs!C7*12,-Inputs!C5*(1-Inputs!C6)),-Inputs!C5*(1-Inputs!C6))))</f>
        <v>143556.55144000985</v>
      </c>
      <c r="D31" s="3">
        <f t="shared" si="0"/>
        <v>3173938.5783790206</v>
      </c>
      <c r="E31" s="3">
        <f>IF(28&gt;Inputs!C7,0,IF(Inputs!C8=0,0,-PMT(Inputs!C8/12,Inputs!C7*12,Inputs!C5*(1-Inputs!C6))*12))</f>
        <v>76156.257765883667</v>
      </c>
      <c r="F31" s="3">
        <f>Inputs!C14+Inputs!C15+Inputs!C16+Inputs!C17</f>
        <v>5000</v>
      </c>
      <c r="G31" s="3">
        <f>B31*Inputs!C18</f>
        <v>16587.475649095151</v>
      </c>
      <c r="H31" s="3">
        <f t="shared" si="1"/>
        <v>2592961.881397008</v>
      </c>
      <c r="I31" s="3">
        <f>Inputs!F5*52*(1+Inputs!F6)^(28-1)</f>
        <v>109731.67687516568</v>
      </c>
      <c r="J31" s="3">
        <f>Inputs!F7</f>
        <v>500</v>
      </c>
      <c r="K31" s="3">
        <f t="shared" si="2"/>
        <v>2134787.5727140228</v>
      </c>
      <c r="L31" s="3">
        <f t="shared" si="3"/>
        <v>-12487.943460186856</v>
      </c>
      <c r="M31" s="3">
        <f>M30*(1+Inputs!F8*(1-Inputs!F9))+IF(L31&gt;0,L31,0)</f>
        <v>2627382.6512547671</v>
      </c>
      <c r="N31" s="3">
        <f t="shared" si="4"/>
        <v>546555.92712425347</v>
      </c>
      <c r="O31" s="18"/>
      <c r="P31" s="18"/>
      <c r="Q31" s="18"/>
    </row>
    <row r="32" spans="1:17" ht="15" customHeight="1" x14ac:dyDescent="0.2">
      <c r="A32" s="22">
        <v>29</v>
      </c>
      <c r="B32" s="23">
        <f>B31*(1+Inputs!C19)</f>
        <v>3417019.9837136013</v>
      </c>
      <c r="C32" s="23">
        <f>IF(29&gt;Inputs!C7,0,IF(Inputs!C8=0,C3-C3/Inputs!C7,FV(Inputs!C8/12,29*12,PMT(Inputs!C8/12,Inputs!C7*12,-Inputs!C5*(1-Inputs!C6)),-Inputs!C5*(1-Inputs!C6))))</f>
        <v>73836.408459254541</v>
      </c>
      <c r="D32" s="23">
        <f t="shared" si="0"/>
        <v>3343183.5752543467</v>
      </c>
      <c r="E32" s="23">
        <f>IF(29&gt;Inputs!C7,0,IF(Inputs!C8=0,0,-PMT(Inputs!C8/12,Inputs!C7*12,Inputs!C5*(1-Inputs!C6))*12))</f>
        <v>76156.257765883667</v>
      </c>
      <c r="F32" s="23">
        <f>Inputs!C14+Inputs!C15+Inputs!C16+Inputs!C17</f>
        <v>5000</v>
      </c>
      <c r="G32" s="23">
        <f>B32*Inputs!C18</f>
        <v>17085.099918568005</v>
      </c>
      <c r="H32" s="23">
        <f t="shared" si="1"/>
        <v>2691203.2390814596</v>
      </c>
      <c r="I32" s="23">
        <f>Inputs!F5*52*(1+Inputs!F6)^(29-1)</f>
        <v>113023.62718142066</v>
      </c>
      <c r="J32" s="23">
        <f>Inputs!F7</f>
        <v>500</v>
      </c>
      <c r="K32" s="23">
        <f t="shared" si="2"/>
        <v>2248311.1998954434</v>
      </c>
      <c r="L32" s="23">
        <f t="shared" si="3"/>
        <v>-15282.269496968976</v>
      </c>
      <c r="M32" s="23">
        <f>M31*(1+Inputs!F8*(1-Inputs!F9))+IF(L32&gt;0,L32,0)</f>
        <v>2745614.8705612314</v>
      </c>
      <c r="N32" s="23">
        <f t="shared" si="4"/>
        <v>597568.70469311532</v>
      </c>
      <c r="O32" s="18"/>
      <c r="P32" s="18"/>
      <c r="Q32" s="18"/>
    </row>
    <row r="33" spans="1:17" ht="15" customHeight="1" x14ac:dyDescent="0.2">
      <c r="A33" s="2">
        <v>30</v>
      </c>
      <c r="B33" s="3">
        <f>B32*(1+Inputs!C19)</f>
        <v>3519530.5832250095</v>
      </c>
      <c r="C33" s="3">
        <f>IF(30&gt;Inputs!C7,0,IF(Inputs!C8=0,C3-C3/Inputs!C7,FV(Inputs!C8/12,30*12,PMT(Inputs!C8/12,Inputs!C7*12,-Inputs!C5*(1-Inputs!C6)),-Inputs!C5*(1-Inputs!C6))))</f>
        <v>-1.2107193470001221E-8</v>
      </c>
      <c r="D33" s="3">
        <f t="shared" si="0"/>
        <v>3519530.5832250216</v>
      </c>
      <c r="E33" s="3">
        <f>IF(30&gt;Inputs!C7,0,IF(Inputs!C8=0,0,-PMT(Inputs!C8/12,Inputs!C7*12,Inputs!C5*(1-Inputs!C6))*12))</f>
        <v>76156.257765883667</v>
      </c>
      <c r="F33" s="3">
        <f>Inputs!C14+Inputs!C15+Inputs!C16+Inputs!C17</f>
        <v>5000</v>
      </c>
      <c r="G33" s="3">
        <f>B33*Inputs!C18</f>
        <v>17597.652916125047</v>
      </c>
      <c r="H33" s="3">
        <f t="shared" si="1"/>
        <v>2789957.1497634682</v>
      </c>
      <c r="I33" s="3">
        <f>Inputs!F5*52*(1+Inputs!F6)^(30-1)</f>
        <v>116414.33599686326</v>
      </c>
      <c r="J33" s="3">
        <f>Inputs!F7</f>
        <v>500</v>
      </c>
      <c r="K33" s="3">
        <f t="shared" si="2"/>
        <v>2365225.5358923068</v>
      </c>
      <c r="L33" s="3">
        <f t="shared" si="3"/>
        <v>-18160.425314854539</v>
      </c>
      <c r="M33" s="3">
        <f>M32*(1+Inputs!F8*(1-Inputs!F9))+IF(L33&gt;0,L33,0)</f>
        <v>2869167.5397364865</v>
      </c>
      <c r="N33" s="3">
        <f t="shared" si="4"/>
        <v>650363.0434885351</v>
      </c>
      <c r="O33" s="18"/>
      <c r="P33" s="18"/>
      <c r="Q33" s="18"/>
    </row>
    <row r="34" spans="1:17" x14ac:dyDescent="0.2">
      <c r="A34" s="18"/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</row>
    <row r="35" spans="1:17" x14ac:dyDescent="0.2">
      <c r="A35" s="18"/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</row>
    <row r="36" spans="1:17" x14ac:dyDescent="0.2">
      <c r="A36" s="18"/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</row>
    <row r="37" spans="1:17" x14ac:dyDescent="0.2">
      <c r="A37" s="18"/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</row>
    <row r="38" spans="1:17" x14ac:dyDescent="0.2">
      <c r="A38" s="18"/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</row>
  </sheetData>
  <sheetProtection algorithmName="SHA-512" hashValue="++VN5hiWjMNfP7DcQi6Y8WR/wzpjX7fHbtmiTDIlnZGW7pLzOGgxzyQrk0GNOb3m3PTPYRiGS40y3PUZ5gUDjw==" saltValue="+YZGWq2JSBBrrW9gHfeiZA==" spinCount="100000" sheet="1" objects="1" scenarios="1" selectLockedCells="1"/>
  <mergeCells count="1">
    <mergeCell ref="A1:N1"/>
  </mergeCells>
  <pageMargins left="0.75" right="0.75" top="1" bottom="1" header="0.511811023622047" footer="0.511811023622047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L112"/>
  <sheetViews>
    <sheetView showGridLines="0" zoomScale="120" zoomScaleNormal="120" workbookViewId="0">
      <selection activeCell="J36" sqref="J36"/>
    </sheetView>
  </sheetViews>
  <sheetFormatPr baseColWidth="10" defaultColWidth="8.6640625" defaultRowHeight="15" x14ac:dyDescent="0.2"/>
  <cols>
    <col min="1" max="1" width="11.83203125" customWidth="1"/>
    <col min="2" max="4" width="20" customWidth="1"/>
    <col min="5" max="5" width="18" customWidth="1"/>
    <col min="6" max="8" width="20" customWidth="1"/>
    <col min="9" max="9" width="18" customWidth="1"/>
  </cols>
  <sheetData>
    <row r="1" spans="1:12" ht="49.5" customHeight="1" x14ac:dyDescent="0.2">
      <c r="A1" s="78" t="s">
        <v>145</v>
      </c>
      <c r="B1" s="54"/>
      <c r="C1" s="54"/>
      <c r="D1" s="54"/>
      <c r="E1" s="54"/>
      <c r="F1" s="54"/>
      <c r="G1" s="54"/>
      <c r="H1" s="54"/>
      <c r="I1" s="56"/>
      <c r="J1" s="18"/>
      <c r="K1" s="18"/>
      <c r="L1" s="18"/>
    </row>
    <row r="2" spans="1:12" ht="15" customHeight="1" x14ac:dyDescent="0.2">
      <c r="A2" s="79" t="s">
        <v>146</v>
      </c>
      <c r="B2" s="54"/>
      <c r="C2" s="54"/>
      <c r="D2" s="54"/>
      <c r="E2" s="54"/>
      <c r="F2" s="54"/>
      <c r="G2" s="54"/>
      <c r="H2" s="54"/>
      <c r="I2" s="56"/>
      <c r="J2" s="18"/>
      <c r="K2" s="18"/>
      <c r="L2" s="18"/>
    </row>
    <row r="3" spans="1:12" x14ac:dyDescent="0.2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</row>
    <row r="4" spans="1:12" ht="15" customHeight="1" x14ac:dyDescent="0.2">
      <c r="A4" s="57" t="s">
        <v>147</v>
      </c>
      <c r="B4" s="54"/>
      <c r="C4" s="54"/>
      <c r="D4" s="54"/>
      <c r="E4" s="54"/>
      <c r="F4" s="54"/>
      <c r="G4" s="54"/>
      <c r="H4" s="54"/>
      <c r="I4" s="56"/>
      <c r="J4" s="18"/>
      <c r="K4" s="18"/>
      <c r="L4" s="18"/>
    </row>
    <row r="5" spans="1:12" ht="15" customHeight="1" x14ac:dyDescent="0.2">
      <c r="A5" s="4" t="s">
        <v>148</v>
      </c>
      <c r="B5" s="4" t="s">
        <v>55</v>
      </c>
      <c r="C5" s="4" t="s">
        <v>149</v>
      </c>
      <c r="D5" s="4" t="s">
        <v>56</v>
      </c>
      <c r="E5" s="4" t="s">
        <v>150</v>
      </c>
      <c r="F5" s="4" t="s">
        <v>151</v>
      </c>
      <c r="G5" s="4" t="s">
        <v>152</v>
      </c>
      <c r="H5" s="4" t="s">
        <v>153</v>
      </c>
      <c r="I5" s="4" t="s">
        <v>154</v>
      </c>
      <c r="J5" s="18"/>
      <c r="K5" s="18"/>
      <c r="L5" s="18"/>
    </row>
    <row r="6" spans="1:12" ht="15" customHeight="1" x14ac:dyDescent="0.2">
      <c r="A6" s="9" t="s">
        <v>155</v>
      </c>
      <c r="B6" s="6">
        <f>'Year-by-Year Analysis'!B8</f>
        <v>1680947.4077350004</v>
      </c>
      <c r="C6" s="6">
        <f>'Year-by-Year Analysis'!C8</f>
        <v>1008788.7818951027</v>
      </c>
      <c r="D6" s="7">
        <f>'Year-by-Year Analysis'!D8</f>
        <v>672158.62583989766</v>
      </c>
      <c r="E6" s="10">
        <f>'Year-by-Year Analysis'!D8/'Year-by-Year Analysis'!B8</f>
        <v>0.39986892079247183</v>
      </c>
      <c r="F6" s="6">
        <f>'Year-by-Year Analysis'!H8</f>
        <v>445427.26049059338</v>
      </c>
      <c r="G6" s="6">
        <f>'Year-by-Year Analysis'!K8</f>
        <v>264771.309014</v>
      </c>
      <c r="H6" s="30">
        <f>'Year-by-Year Analysis'!N8</f>
        <v>-44299.865624947124</v>
      </c>
      <c r="I6" s="5" t="s">
        <v>156</v>
      </c>
      <c r="J6" s="18"/>
      <c r="K6" s="18"/>
      <c r="L6" s="18"/>
    </row>
    <row r="7" spans="1:12" ht="15" customHeight="1" x14ac:dyDescent="0.2">
      <c r="A7" s="29" t="s">
        <v>157</v>
      </c>
      <c r="B7" s="27">
        <f>'Year-by-Year Analysis'!B13</f>
        <v>1948678.7500489773</v>
      </c>
      <c r="C7" s="27">
        <f>'Year-by-Year Analysis'!C13</f>
        <v>903931.61820135079</v>
      </c>
      <c r="D7" s="7">
        <f>'Year-by-Year Analysis'!D13</f>
        <v>1044747.1318476265</v>
      </c>
      <c r="E7" s="31">
        <f>'Year-by-Year Analysis'!D13/'Year-by-Year Analysis'!B13</f>
        <v>0.5361310230438795</v>
      </c>
      <c r="F7" s="27">
        <f>'Year-by-Year Analysis'!H13</f>
        <v>897169.09641724452</v>
      </c>
      <c r="G7" s="27">
        <f>'Year-by-Year Analysis'!K13</f>
        <v>571315.63798665407</v>
      </c>
      <c r="H7" s="30">
        <f>'Year-by-Year Analysis'!N13</f>
        <v>-7690.7562875389121</v>
      </c>
      <c r="I7" s="26" t="s">
        <v>158</v>
      </c>
      <c r="J7" s="18"/>
      <c r="K7" s="18"/>
      <c r="L7" s="18"/>
    </row>
    <row r="8" spans="1:12" ht="15" customHeight="1" x14ac:dyDescent="0.2">
      <c r="A8" s="9" t="s">
        <v>159</v>
      </c>
      <c r="B8" s="6">
        <f>'Year-by-Year Analysis'!B18</f>
        <v>2259052.7540711095</v>
      </c>
      <c r="C8" s="6">
        <f>'Year-by-Year Analysis'!C18</f>
        <v>764243.46392523055</v>
      </c>
      <c r="D8" s="7">
        <f>'Year-by-Year Analysis'!D18</f>
        <v>1494809.2901458789</v>
      </c>
      <c r="E8" s="10">
        <f>'Year-by-Year Analysis'!D18/'Year-by-Year Analysis'!B18</f>
        <v>0.66169738066188866</v>
      </c>
      <c r="F8" s="6">
        <f>'Year-by-Year Analysis'!H18</f>
        <v>1356231.2559371286</v>
      </c>
      <c r="G8" s="6">
        <f>'Year-by-Year Analysis'!K18</f>
        <v>926286.34600259224</v>
      </c>
      <c r="H8" s="30">
        <f>'Year-by-Year Analysis'!N18</f>
        <v>68538.966554339277</v>
      </c>
      <c r="I8" s="5" t="s">
        <v>160</v>
      </c>
      <c r="J8" s="18"/>
      <c r="K8" s="18"/>
      <c r="L8" s="18"/>
    </row>
    <row r="9" spans="1:12" ht="15" customHeight="1" x14ac:dyDescent="0.2">
      <c r="A9" s="29" t="s">
        <v>161</v>
      </c>
      <c r="B9" s="27">
        <f>'Year-by-Year Analysis'!B23</f>
        <v>2618861.2902706512</v>
      </c>
      <c r="C9" s="27">
        <f>'Year-by-Year Analysis'!C23</f>
        <v>578154.31409796095</v>
      </c>
      <c r="D9" s="7">
        <f>'Year-by-Year Analysis'!D23</f>
        <v>2040706.9761726903</v>
      </c>
      <c r="E9" s="31">
        <f>'Year-by-Year Analysis'!D23/'Year-by-Year Analysis'!B23</f>
        <v>0.77923446490050241</v>
      </c>
      <c r="F9" s="27">
        <f>'Year-by-Year Analysis'!H23</f>
        <v>1823779.6768141345</v>
      </c>
      <c r="G9" s="27">
        <f>'Year-by-Year Analysis'!K23</f>
        <v>1337396.4997556345</v>
      </c>
      <c r="H9" s="30">
        <f>'Year-by-Year Analysis'!N23</f>
        <v>200577.32280439115</v>
      </c>
      <c r="I9" s="26" t="s">
        <v>162</v>
      </c>
      <c r="J9" s="18"/>
      <c r="K9" s="18"/>
      <c r="L9" s="18"/>
    </row>
    <row r="10" spans="1:12" ht="15" customHeight="1" x14ac:dyDescent="0.2">
      <c r="A10" s="9" t="s">
        <v>163</v>
      </c>
      <c r="B10" s="6">
        <f>'Year-by-Year Analysis'!B28</f>
        <v>3035977.9979986129</v>
      </c>
      <c r="C10" s="6">
        <f>'Year-by-Year Analysis'!C28</f>
        <v>330250.89048349299</v>
      </c>
      <c r="D10" s="7">
        <f>'Year-by-Year Analysis'!D28</f>
        <v>2705727.1075151199</v>
      </c>
      <c r="E10" s="10">
        <f>'Year-by-Year Analysis'!D28/'Year-by-Year Analysis'!B28</f>
        <v>0.89122092100100792</v>
      </c>
      <c r="F10" s="6">
        <f>'Year-by-Year Analysis'!H28</f>
        <v>2301166.0004701857</v>
      </c>
      <c r="G10" s="6">
        <f>'Year-by-Year Analysis'!K28</f>
        <v>1813587.6574972733</v>
      </c>
      <c r="H10" s="30">
        <f>'Year-by-Year Analysis'!N28</f>
        <v>403360.61266778363</v>
      </c>
      <c r="I10" s="5" t="s">
        <v>164</v>
      </c>
      <c r="J10" s="18"/>
      <c r="K10" s="18"/>
      <c r="L10" s="18"/>
    </row>
    <row r="11" spans="1:12" ht="15" customHeight="1" x14ac:dyDescent="0.2">
      <c r="A11" s="29" t="s">
        <v>165</v>
      </c>
      <c r="B11" s="27">
        <f>'Year-by-Year Analysis'!B33</f>
        <v>3519530.5832250095</v>
      </c>
      <c r="C11" s="27">
        <f>'Year-by-Year Analysis'!C33</f>
        <v>-1.2107193470001221E-8</v>
      </c>
      <c r="D11" s="7">
        <f>'Year-by-Year Analysis'!D33</f>
        <v>3519530.5832250216</v>
      </c>
      <c r="E11" s="31">
        <f>'Year-by-Year Analysis'!D33/'Year-by-Year Analysis'!B33</f>
        <v>1.0000000000000033</v>
      </c>
      <c r="F11" s="27">
        <f>'Year-by-Year Analysis'!H33</f>
        <v>2789957.1497634682</v>
      </c>
      <c r="G11" s="27">
        <f>'Year-by-Year Analysis'!K33</f>
        <v>2365225.5358923068</v>
      </c>
      <c r="H11" s="30">
        <f>'Year-by-Year Analysis'!N33</f>
        <v>650363.0434885351</v>
      </c>
      <c r="I11" s="26" t="s">
        <v>166</v>
      </c>
      <c r="J11" s="18"/>
      <c r="K11" s="18"/>
      <c r="L11" s="18"/>
    </row>
    <row r="12" spans="1:12" x14ac:dyDescent="0.2">
      <c r="A12" s="18"/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</row>
    <row r="13" spans="1:12" x14ac:dyDescent="0.2">
      <c r="A13" s="18"/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</row>
    <row r="14" spans="1:12" ht="15" customHeight="1" x14ac:dyDescent="0.2">
      <c r="A14" s="76" t="s">
        <v>167</v>
      </c>
      <c r="B14" s="54"/>
      <c r="C14" s="54"/>
      <c r="D14" s="54"/>
      <c r="E14" s="54"/>
      <c r="F14" s="54"/>
      <c r="G14" s="54"/>
      <c r="H14" s="54"/>
      <c r="I14" s="56"/>
      <c r="J14" s="18"/>
      <c r="K14" s="18"/>
      <c r="L14" s="18"/>
    </row>
    <row r="15" spans="1:12" ht="34.5" customHeight="1" x14ac:dyDescent="0.2">
      <c r="A15" s="11" t="s">
        <v>86</v>
      </c>
      <c r="B15" s="11" t="s">
        <v>55</v>
      </c>
      <c r="C15" s="11" t="s">
        <v>168</v>
      </c>
      <c r="D15" s="11" t="s">
        <v>89</v>
      </c>
      <c r="E15" s="11" t="s">
        <v>169</v>
      </c>
      <c r="F15" s="1" t="s">
        <v>170</v>
      </c>
      <c r="G15" s="1" t="s">
        <v>171</v>
      </c>
      <c r="H15" s="1" t="s">
        <v>172</v>
      </c>
      <c r="I15" s="1" t="s">
        <v>173</v>
      </c>
      <c r="J15" s="18"/>
      <c r="K15" s="18"/>
      <c r="L15" s="18"/>
    </row>
    <row r="16" spans="1:12" ht="15" customHeight="1" x14ac:dyDescent="0.2">
      <c r="A16" s="28">
        <v>1</v>
      </c>
      <c r="B16" s="27">
        <f>'Year-by-Year Analysis'!B4</f>
        <v>1493500</v>
      </c>
      <c r="C16" s="27">
        <f>'Year-by-Year Analysis'!C4</f>
        <v>1073510.1189615962</v>
      </c>
      <c r="D16" s="27">
        <f>'Year-by-Year Analysis'!D4</f>
        <v>419989.88103840384</v>
      </c>
      <c r="E16" s="31">
        <f>IF('Year-by-Year Analysis'!B4=0,0,'Year-by-Year Analysis'!D4/'Year-by-Year Analysis'!B4)</f>
        <v>0.28121183865979499</v>
      </c>
      <c r="F16" s="27">
        <f>'Year-by-Year Analysis'!C3-'Year-by-Year Analysis'!C4</f>
        <v>13989.881038403837</v>
      </c>
      <c r="G16" s="27">
        <f>'Year-by-Year Analysis'!E4-F16</f>
        <v>62166.37672747983</v>
      </c>
      <c r="H16" s="27">
        <f>F16</f>
        <v>13989.881038403837</v>
      </c>
      <c r="I16" s="27">
        <f>G16</f>
        <v>62166.37672747983</v>
      </c>
      <c r="J16" s="18"/>
      <c r="K16" s="18"/>
      <c r="L16" s="18"/>
    </row>
    <row r="17" spans="1:12" ht="15" customHeight="1" x14ac:dyDescent="0.2">
      <c r="A17" s="8">
        <v>2</v>
      </c>
      <c r="B17" s="6">
        <f>'Year-by-Year Analysis'!B5</f>
        <v>1538305</v>
      </c>
      <c r="C17" s="6">
        <f>'Year-by-Year Analysis'!C5</f>
        <v>1058694.2777070352</v>
      </c>
      <c r="D17" s="6">
        <f>'Year-by-Year Analysis'!D5</f>
        <v>479610.72229296481</v>
      </c>
      <c r="E17" s="10">
        <f>IF('Year-by-Year Analysis'!B5=0,0,'Year-by-Year Analysis'!D5/'Year-by-Year Analysis'!B5)</f>
        <v>0.3117786929724371</v>
      </c>
      <c r="F17" s="6">
        <f>'Year-by-Year Analysis'!C4-'Year-by-Year Analysis'!C5</f>
        <v>14815.841254560975</v>
      </c>
      <c r="G17" s="6">
        <f>'Year-by-Year Analysis'!E5-F17</f>
        <v>61340.416511322692</v>
      </c>
      <c r="H17" s="6">
        <f t="shared" ref="H17:H45" si="0">H16+F17</f>
        <v>28805.722292964812</v>
      </c>
      <c r="I17" s="6">
        <f t="shared" ref="I17:I45" si="1">I16+G17</f>
        <v>123506.79323880252</v>
      </c>
      <c r="J17" s="18"/>
      <c r="K17" s="18"/>
      <c r="L17" s="18"/>
    </row>
    <row r="18" spans="1:12" ht="15" customHeight="1" x14ac:dyDescent="0.2">
      <c r="A18" s="28">
        <v>3</v>
      </c>
      <c r="B18" s="27">
        <f>'Year-by-Year Analysis'!B6</f>
        <v>1584454.1500000001</v>
      </c>
      <c r="C18" s="27">
        <f>'Year-by-Year Analysis'!C6</f>
        <v>1043003.7116845103</v>
      </c>
      <c r="D18" s="27">
        <f>'Year-by-Year Analysis'!D6</f>
        <v>541450.4383154898</v>
      </c>
      <c r="E18" s="31">
        <f>IF('Year-by-Year Analysis'!B6=0,0,'Year-by-Year Analysis'!D6/'Year-by-Year Analysis'!B6)</f>
        <v>0.34172679488105712</v>
      </c>
      <c r="F18" s="27">
        <f>'Year-by-Year Analysis'!C5-'Year-by-Year Analysis'!C6</f>
        <v>15690.566022524843</v>
      </c>
      <c r="G18" s="27">
        <f>'Year-by-Year Analysis'!E6-F18</f>
        <v>60465.691743358824</v>
      </c>
      <c r="H18" s="27">
        <f t="shared" si="0"/>
        <v>44496.288315489655</v>
      </c>
      <c r="I18" s="27">
        <f t="shared" si="1"/>
        <v>183972.48498216135</v>
      </c>
      <c r="J18" s="18"/>
      <c r="K18" s="18"/>
      <c r="L18" s="18"/>
    </row>
    <row r="19" spans="1:12" ht="15" customHeight="1" x14ac:dyDescent="0.2">
      <c r="A19" s="8">
        <v>4</v>
      </c>
      <c r="B19" s="6">
        <f>'Year-by-Year Analysis'!B7</f>
        <v>1631987.7745000003</v>
      </c>
      <c r="C19" s="6">
        <f>'Year-by-Year Analysis'!C7</f>
        <v>1026386.7772913027</v>
      </c>
      <c r="D19" s="6">
        <f>'Year-by-Year Analysis'!D7</f>
        <v>605600.9972086976</v>
      </c>
      <c r="E19" s="10">
        <f>IF('Year-by-Year Analysis'!B7=0,0,'Year-by-Year Analysis'!D7/'Year-by-Year Analysis'!B7)</f>
        <v>0.37108182222396757</v>
      </c>
      <c r="F19" s="6">
        <f>'Year-by-Year Analysis'!C6-'Year-by-Year Analysis'!C7</f>
        <v>16616.934393207659</v>
      </c>
      <c r="G19" s="6">
        <f>'Year-by-Year Analysis'!E7-F19</f>
        <v>59539.323372676008</v>
      </c>
      <c r="H19" s="6">
        <f t="shared" si="0"/>
        <v>61113.222708697314</v>
      </c>
      <c r="I19" s="6">
        <f t="shared" si="1"/>
        <v>243511.80835483735</v>
      </c>
      <c r="J19" s="18"/>
      <c r="K19" s="18"/>
      <c r="L19" s="18"/>
    </row>
    <row r="20" spans="1:12" ht="15" customHeight="1" x14ac:dyDescent="0.2">
      <c r="A20" s="12">
        <v>5</v>
      </c>
      <c r="B20" s="13">
        <f>'Year-by-Year Analysis'!B8</f>
        <v>1680947.4077350004</v>
      </c>
      <c r="C20" s="13">
        <f>'Year-by-Year Analysis'!C8</f>
        <v>1008788.7818951027</v>
      </c>
      <c r="D20" s="13">
        <f>'Year-by-Year Analysis'!D8</f>
        <v>672158.62583989766</v>
      </c>
      <c r="E20" s="14">
        <f>IF('Year-by-Year Analysis'!B8=0,0,'Year-by-Year Analysis'!D8/'Year-by-Year Analysis'!B8)</f>
        <v>0.39986892079247183</v>
      </c>
      <c r="F20" s="13">
        <f>'Year-by-Year Analysis'!C7-'Year-by-Year Analysis'!C8</f>
        <v>17597.995396199985</v>
      </c>
      <c r="G20" s="13">
        <f>'Year-by-Year Analysis'!E8-F20</f>
        <v>58558.262369683682</v>
      </c>
      <c r="H20" s="13">
        <f t="shared" si="0"/>
        <v>78711.2181048973</v>
      </c>
      <c r="I20" s="13">
        <f t="shared" si="1"/>
        <v>302070.07072452107</v>
      </c>
      <c r="J20" s="18"/>
      <c r="K20" s="18"/>
      <c r="L20" s="18"/>
    </row>
    <row r="21" spans="1:12" ht="15" customHeight="1" x14ac:dyDescent="0.2">
      <c r="A21" s="8">
        <v>6</v>
      </c>
      <c r="B21" s="6">
        <f>'Year-by-Year Analysis'!B9</f>
        <v>1731375.8299670503</v>
      </c>
      <c r="C21" s="6">
        <f>'Year-by-Year Analysis'!C9</f>
        <v>990151.80381981656</v>
      </c>
      <c r="D21" s="6">
        <f>'Year-by-Year Analysis'!D9</f>
        <v>741224.02614723379</v>
      </c>
      <c r="E21" s="10">
        <f>IF('Year-by-Year Analysis'!B9=0,0,'Year-by-Year Analysis'!D9/'Year-by-Year Analysis'!B9)</f>
        <v>0.42811272591309074</v>
      </c>
      <c r="F21" s="6">
        <f>'Year-by-Year Analysis'!C8-'Year-by-Year Analysis'!C9</f>
        <v>18636.978075286141</v>
      </c>
      <c r="G21" s="6">
        <f>'Year-by-Year Analysis'!E9-F21</f>
        <v>57519.279690597526</v>
      </c>
      <c r="H21" s="6">
        <f t="shared" si="0"/>
        <v>97348.19618018344</v>
      </c>
      <c r="I21" s="6">
        <f t="shared" si="1"/>
        <v>359589.35041511862</v>
      </c>
      <c r="J21" s="18"/>
      <c r="K21" s="18"/>
      <c r="L21" s="18"/>
    </row>
    <row r="22" spans="1:12" ht="15" customHeight="1" x14ac:dyDescent="0.2">
      <c r="A22" s="28">
        <v>7</v>
      </c>
      <c r="B22" s="27">
        <f>'Year-by-Year Analysis'!B10</f>
        <v>1783317.1048660618</v>
      </c>
      <c r="C22" s="27">
        <f>'Year-by-Year Analysis'!C10</f>
        <v>970414.50170336675</v>
      </c>
      <c r="D22" s="27">
        <f>'Year-by-Year Analysis'!D10</f>
        <v>812902.60316269507</v>
      </c>
      <c r="E22" s="31">
        <f>IF('Year-by-Year Analysis'!B10=0,0,'Year-by-Year Analysis'!D10/'Year-by-Year Analysis'!B10)</f>
        <v>0.4558373835727601</v>
      </c>
      <c r="F22" s="27">
        <f>'Year-by-Year Analysis'!C9-'Year-by-Year Analysis'!C10</f>
        <v>19737.302116449806</v>
      </c>
      <c r="G22" s="27">
        <f>'Year-by-Year Analysis'!E10-F22</f>
        <v>56418.955649433861</v>
      </c>
      <c r="H22" s="27">
        <f t="shared" si="0"/>
        <v>117085.49829663325</v>
      </c>
      <c r="I22" s="27">
        <f t="shared" si="1"/>
        <v>416008.30606455251</v>
      </c>
      <c r="J22" s="18"/>
      <c r="K22" s="18"/>
      <c r="L22" s="18"/>
    </row>
    <row r="23" spans="1:12" ht="15" customHeight="1" x14ac:dyDescent="0.2">
      <c r="A23" s="8">
        <v>8</v>
      </c>
      <c r="B23" s="6">
        <f>'Year-by-Year Analysis'!B11</f>
        <v>1836816.6180120436</v>
      </c>
      <c r="C23" s="6">
        <f>'Year-by-Year Analysis'!C11</f>
        <v>949511.91260000807</v>
      </c>
      <c r="D23" s="6">
        <f>'Year-by-Year Analysis'!D11</f>
        <v>887304.70541203558</v>
      </c>
      <c r="E23" s="10">
        <f>IF('Year-by-Year Analysis'!B11=0,0,'Year-by-Year Analysis'!D11/'Year-by-Year Analysis'!B11)</f>
        <v>0.48306657110514978</v>
      </c>
      <c r="F23" s="6">
        <f>'Year-by-Year Analysis'!C10-'Year-by-Year Analysis'!C11</f>
        <v>20902.589103358681</v>
      </c>
      <c r="G23" s="6">
        <f>'Year-by-Year Analysis'!E11-F23</f>
        <v>55253.668662524986</v>
      </c>
      <c r="H23" s="6">
        <f t="shared" si="0"/>
        <v>137988.08739999193</v>
      </c>
      <c r="I23" s="6">
        <f t="shared" si="1"/>
        <v>471261.97472707753</v>
      </c>
      <c r="J23" s="18"/>
      <c r="K23" s="18"/>
      <c r="L23" s="18"/>
    </row>
    <row r="24" spans="1:12" ht="15" customHeight="1" x14ac:dyDescent="0.2">
      <c r="A24" s="28">
        <v>9</v>
      </c>
      <c r="B24" s="27">
        <f>'Year-by-Year Analysis'!B12</f>
        <v>1891921.1165524051</v>
      </c>
      <c r="C24" s="27">
        <f>'Year-by-Year Analysis'!C12</f>
        <v>927375.23816263839</v>
      </c>
      <c r="D24" s="27">
        <f>'Year-by-Year Analysis'!D12</f>
        <v>964545.87838976667</v>
      </c>
      <c r="E24" s="31">
        <f>IF('Year-by-Year Analysis'!B12=0,0,'Year-by-Year Analysis'!D12/'Year-by-Year Analysis'!B12)</f>
        <v>0.50982351745586074</v>
      </c>
      <c r="F24" s="27">
        <f>'Year-by-Year Analysis'!C11-'Year-by-Year Analysis'!C12</f>
        <v>22136.674437369686</v>
      </c>
      <c r="G24" s="27">
        <f>'Year-by-Year Analysis'!E12-F24</f>
        <v>54019.583328513982</v>
      </c>
      <c r="H24" s="27">
        <f t="shared" si="0"/>
        <v>160124.76183736161</v>
      </c>
      <c r="I24" s="27">
        <f t="shared" si="1"/>
        <v>525281.55805559154</v>
      </c>
      <c r="J24" s="18"/>
      <c r="K24" s="18"/>
      <c r="L24" s="18"/>
    </row>
    <row r="25" spans="1:12" ht="15" customHeight="1" x14ac:dyDescent="0.2">
      <c r="A25" s="12">
        <v>10</v>
      </c>
      <c r="B25" s="13">
        <f>'Year-by-Year Analysis'!B13</f>
        <v>1948678.7500489773</v>
      </c>
      <c r="C25" s="13">
        <f>'Year-by-Year Analysis'!C13</f>
        <v>903931.61820135079</v>
      </c>
      <c r="D25" s="13">
        <f>'Year-by-Year Analysis'!D13</f>
        <v>1044747.1318476265</v>
      </c>
      <c r="E25" s="14">
        <f>IF('Year-by-Year Analysis'!B13=0,0,'Year-by-Year Analysis'!D13/'Year-by-Year Analysis'!B13)</f>
        <v>0.5361310230438795</v>
      </c>
      <c r="F25" s="13">
        <f>'Year-by-Year Analysis'!C12-'Year-by-Year Analysis'!C13</f>
        <v>23443.619961287593</v>
      </c>
      <c r="G25" s="13">
        <f>'Year-by-Year Analysis'!E13-F25</f>
        <v>52712.637804596074</v>
      </c>
      <c r="H25" s="13">
        <f t="shared" si="0"/>
        <v>183568.38179864921</v>
      </c>
      <c r="I25" s="13">
        <f t="shared" si="1"/>
        <v>577994.19586018764</v>
      </c>
      <c r="J25" s="18"/>
      <c r="K25" s="18"/>
      <c r="L25" s="18"/>
    </row>
    <row r="26" spans="1:12" ht="15" customHeight="1" x14ac:dyDescent="0.2">
      <c r="A26" s="28">
        <v>11</v>
      </c>
      <c r="B26" s="27">
        <f>'Year-by-Year Analysis'!B14</f>
        <v>2007139.1125504468</v>
      </c>
      <c r="C26" s="27">
        <f>'Year-by-Year Analysis'!C14</f>
        <v>879103.89087291877</v>
      </c>
      <c r="D26" s="27">
        <f>'Year-by-Year Analysis'!D14</f>
        <v>1128035.221677528</v>
      </c>
      <c r="E26" s="31">
        <f>IF('Year-by-Year Analysis'!B14=0,0,'Year-by-Year Analysis'!D14/'Year-by-Year Analysis'!B14)</f>
        <v>0.56201147923630845</v>
      </c>
      <c r="F26" s="27">
        <f>'Year-by-Year Analysis'!C13-'Year-by-Year Analysis'!C14</f>
        <v>24827.727328432025</v>
      </c>
      <c r="G26" s="27">
        <f>'Year-by-Year Analysis'!E14-F26</f>
        <v>51328.530437451642</v>
      </c>
      <c r="H26" s="27">
        <f t="shared" si="0"/>
        <v>208396.10912708123</v>
      </c>
      <c r="I26" s="27">
        <f t="shared" si="1"/>
        <v>629322.72629763931</v>
      </c>
      <c r="J26" s="18"/>
      <c r="K26" s="18"/>
      <c r="L26" s="18"/>
    </row>
    <row r="27" spans="1:12" ht="15" customHeight="1" x14ac:dyDescent="0.2">
      <c r="A27" s="8">
        <v>12</v>
      </c>
      <c r="B27" s="6">
        <f>'Year-by-Year Analysis'!B15</f>
        <v>2067353.2859269602</v>
      </c>
      <c r="C27" s="6">
        <f>'Year-by-Year Analysis'!C15</f>
        <v>852810.33871191088</v>
      </c>
      <c r="D27" s="6">
        <f>'Year-by-Year Analysis'!D15</f>
        <v>1214542.9472150493</v>
      </c>
      <c r="E27" s="10">
        <f>IF('Year-by-Year Analysis'!B15=0,0,'Year-by-Year Analysis'!D15/'Year-by-Year Analysis'!B15)</f>
        <v>0.58748688745304234</v>
      </c>
      <c r="F27" s="6">
        <f>'Year-by-Year Analysis'!C14-'Year-by-Year Analysis'!C15</f>
        <v>26293.552161007887</v>
      </c>
      <c r="G27" s="6">
        <f>'Year-by-Year Analysis'!E15-F27</f>
        <v>49862.70560487578</v>
      </c>
      <c r="H27" s="6">
        <f t="shared" si="0"/>
        <v>234689.66128808912</v>
      </c>
      <c r="I27" s="6">
        <f t="shared" si="1"/>
        <v>679185.43190251512</v>
      </c>
      <c r="J27" s="18"/>
      <c r="K27" s="18"/>
      <c r="L27" s="18"/>
    </row>
    <row r="28" spans="1:12" ht="15" customHeight="1" x14ac:dyDescent="0.2">
      <c r="A28" s="28">
        <v>13</v>
      </c>
      <c r="B28" s="27">
        <f>'Year-by-Year Analysis'!B16</f>
        <v>2129373.884504769</v>
      </c>
      <c r="C28" s="27">
        <f>'Year-by-Year Analysis'!C16</f>
        <v>824964.41966752312</v>
      </c>
      <c r="D28" s="27">
        <f>'Year-by-Year Analysis'!D16</f>
        <v>1304409.4648372459</v>
      </c>
      <c r="E28" s="31">
        <f>IF('Year-by-Year Analysis'!B16=0,0,'Year-by-Year Analysis'!D16/'Year-by-Year Analysis'!B16)</f>
        <v>0.61257887791772836</v>
      </c>
      <c r="F28" s="27">
        <f>'Year-by-Year Analysis'!C15-'Year-by-Year Analysis'!C16</f>
        <v>27845.91904438776</v>
      </c>
      <c r="G28" s="27">
        <f>'Year-by-Year Analysis'!E16-F28</f>
        <v>48310.338721495908</v>
      </c>
      <c r="H28" s="27">
        <f t="shared" si="0"/>
        <v>262535.58033247688</v>
      </c>
      <c r="I28" s="27">
        <f t="shared" si="1"/>
        <v>727495.77062401106</v>
      </c>
      <c r="J28" s="18"/>
      <c r="K28" s="18"/>
      <c r="L28" s="18"/>
    </row>
    <row r="29" spans="1:12" ht="15" customHeight="1" x14ac:dyDescent="0.2">
      <c r="A29" s="8">
        <v>14</v>
      </c>
      <c r="B29" s="6">
        <f>'Year-by-Year Analysis'!B17</f>
        <v>2193255.1010399121</v>
      </c>
      <c r="C29" s="6">
        <f>'Year-by-Year Analysis'!C17</f>
        <v>795474.48226087354</v>
      </c>
      <c r="D29" s="6">
        <f>'Year-by-Year Analysis'!D17</f>
        <v>1397780.6187790385</v>
      </c>
      <c r="E29" s="10">
        <f>IF('Year-by-Year Analysis'!B17=0,0,'Year-by-Year Analysis'!D17/'Year-by-Year Analysis'!B17)</f>
        <v>0.63730872807102712</v>
      </c>
      <c r="F29" s="6">
        <f>'Year-by-Year Analysis'!C16-'Year-by-Year Analysis'!C17</f>
        <v>29489.93740664958</v>
      </c>
      <c r="G29" s="6">
        <f>'Year-by-Year Analysis'!E17-F29</f>
        <v>46666.320359234087</v>
      </c>
      <c r="H29" s="6">
        <f t="shared" si="0"/>
        <v>292025.51773912646</v>
      </c>
      <c r="I29" s="6">
        <f t="shared" si="1"/>
        <v>774162.09098324517</v>
      </c>
      <c r="J29" s="18"/>
      <c r="K29" s="18"/>
      <c r="L29" s="18"/>
    </row>
    <row r="30" spans="1:12" ht="15" customHeight="1" x14ac:dyDescent="0.2">
      <c r="A30" s="12">
        <v>15</v>
      </c>
      <c r="B30" s="13">
        <f>'Year-by-Year Analysis'!B18</f>
        <v>2259052.7540711095</v>
      </c>
      <c r="C30" s="13">
        <f>'Year-by-Year Analysis'!C18</f>
        <v>764243.46392523055</v>
      </c>
      <c r="D30" s="13">
        <f>'Year-by-Year Analysis'!D18</f>
        <v>1494809.2901458789</v>
      </c>
      <c r="E30" s="14">
        <f>IF('Year-by-Year Analysis'!B18=0,0,'Year-by-Year Analysis'!D18/'Year-by-Year Analysis'!B18)</f>
        <v>0.66169738066188866</v>
      </c>
      <c r="F30" s="13">
        <f>'Year-by-Year Analysis'!C17-'Year-by-Year Analysis'!C18</f>
        <v>31231.018335642992</v>
      </c>
      <c r="G30" s="13">
        <f>'Year-by-Year Analysis'!E18-F30</f>
        <v>44925.239430240676</v>
      </c>
      <c r="H30" s="13">
        <f t="shared" si="0"/>
        <v>323256.53607476945</v>
      </c>
      <c r="I30" s="13">
        <f t="shared" si="1"/>
        <v>819087.33041348588</v>
      </c>
      <c r="J30" s="18"/>
      <c r="K30" s="18"/>
      <c r="L30" s="18"/>
    </row>
    <row r="31" spans="1:12" ht="15" customHeight="1" x14ac:dyDescent="0.2">
      <c r="A31" s="8">
        <v>16</v>
      </c>
      <c r="B31" s="6">
        <f>'Year-by-Year Analysis'!B19</f>
        <v>2326824.3366932427</v>
      </c>
      <c r="C31" s="6">
        <f>'Year-by-Year Analysis'!C19</f>
        <v>731168.57153629907</v>
      </c>
      <c r="D31" s="6">
        <f>'Year-by-Year Analysis'!D19</f>
        <v>1595655.7651569436</v>
      </c>
      <c r="E31" s="10">
        <f>IF('Year-by-Year Analysis'!B19=0,0,'Year-by-Year Analysis'!D19/'Year-by-Year Analysis'!B19)</f>
        <v>0.68576546153226314</v>
      </c>
      <c r="F31" s="6">
        <f>'Year-by-Year Analysis'!C18-'Year-by-Year Analysis'!C19</f>
        <v>33074.892388931476</v>
      </c>
      <c r="G31" s="6">
        <f>'Year-by-Year Analysis'!E19-F31</f>
        <v>43081.365376952192</v>
      </c>
      <c r="H31" s="6">
        <f t="shared" si="0"/>
        <v>356331.42846370093</v>
      </c>
      <c r="I31" s="6">
        <f t="shared" si="1"/>
        <v>862168.6957904381</v>
      </c>
      <c r="J31" s="18"/>
      <c r="K31" s="18"/>
      <c r="L31" s="18"/>
    </row>
    <row r="32" spans="1:12" ht="15" customHeight="1" x14ac:dyDescent="0.2">
      <c r="A32" s="28">
        <v>17</v>
      </c>
      <c r="B32" s="27">
        <f>'Year-by-Year Analysis'!B20</f>
        <v>2396629.0667940401</v>
      </c>
      <c r="C32" s="27">
        <f>'Year-by-Year Analysis'!C20</f>
        <v>696140.94308106741</v>
      </c>
      <c r="D32" s="27">
        <f>'Year-by-Year Analysis'!D20</f>
        <v>1700488.1237129727</v>
      </c>
      <c r="E32" s="31">
        <f>IF('Year-by-Year Analysis'!B20=0,0,'Year-by-Year Analysis'!D20/'Year-by-Year Analysis'!B20)</f>
        <v>0.70953329711039015</v>
      </c>
      <c r="F32" s="27">
        <f>'Year-by-Year Analysis'!C19-'Year-by-Year Analysis'!C20</f>
        <v>35027.628455231665</v>
      </c>
      <c r="G32" s="27">
        <f>'Year-by-Year Analysis'!E20-F32</f>
        <v>41128.629310652002</v>
      </c>
      <c r="H32" s="27">
        <f t="shared" si="0"/>
        <v>391359.05691893259</v>
      </c>
      <c r="I32" s="27">
        <f t="shared" si="1"/>
        <v>903297.32510109013</v>
      </c>
      <c r="J32" s="18"/>
      <c r="K32" s="18"/>
      <c r="L32" s="18"/>
    </row>
    <row r="33" spans="1:12" ht="15" customHeight="1" x14ac:dyDescent="0.2">
      <c r="A33" s="8">
        <v>18</v>
      </c>
      <c r="B33" s="6">
        <f>'Year-by-Year Analysis'!B21</f>
        <v>2468527.9387978613</v>
      </c>
      <c r="C33" s="6">
        <f>'Year-by-Year Analysis'!C21</f>
        <v>659045.28935164493</v>
      </c>
      <c r="D33" s="6">
        <f>'Year-by-Year Analysis'!D21</f>
        <v>1809482.6494462164</v>
      </c>
      <c r="E33" s="10">
        <f>IF('Year-by-Year Analysis'!B21=0,0,'Year-by-Year Analysis'!D21/'Year-by-Year Analysis'!B21)</f>
        <v>0.73302093162753879</v>
      </c>
      <c r="F33" s="6">
        <f>'Year-by-Year Analysis'!C20-'Year-by-Year Analysis'!C21</f>
        <v>37095.653729422484</v>
      </c>
      <c r="G33" s="6">
        <f>'Year-by-Year Analysis'!E21-F33</f>
        <v>39060.604036461184</v>
      </c>
      <c r="H33" s="6">
        <f t="shared" si="0"/>
        <v>428454.71064835507</v>
      </c>
      <c r="I33" s="6">
        <f t="shared" si="1"/>
        <v>942357.92913755134</v>
      </c>
      <c r="J33" s="18"/>
      <c r="K33" s="18"/>
      <c r="L33" s="18"/>
    </row>
    <row r="34" spans="1:12" ht="15" customHeight="1" x14ac:dyDescent="0.2">
      <c r="A34" s="28">
        <v>19</v>
      </c>
      <c r="B34" s="27">
        <f>'Year-by-Year Analysis'!B22</f>
        <v>2542583.7769617974</v>
      </c>
      <c r="C34" s="27">
        <f>'Year-by-Year Analysis'!C22</f>
        <v>619759.51448475663</v>
      </c>
      <c r="D34" s="27">
        <f>'Year-by-Year Analysis'!D22</f>
        <v>1922824.2624770408</v>
      </c>
      <c r="E34" s="31">
        <f>IF('Year-by-Year Analysis'!B22=0,0,'Year-by-Year Analysis'!D22/'Year-by-Year Analysis'!B22)</f>
        <v>0.75624814407282814</v>
      </c>
      <c r="F34" s="27">
        <f>'Year-by-Year Analysis'!C21-'Year-by-Year Analysis'!C22</f>
        <v>39285.7748668883</v>
      </c>
      <c r="G34" s="27">
        <f>'Year-by-Year Analysis'!E22-F34</f>
        <v>36870.482898995368</v>
      </c>
      <c r="H34" s="27">
        <f t="shared" si="0"/>
        <v>467740.48551524337</v>
      </c>
      <c r="I34" s="27">
        <f t="shared" si="1"/>
        <v>979228.41203654674</v>
      </c>
      <c r="J34" s="18"/>
      <c r="K34" s="18"/>
      <c r="L34" s="18"/>
    </row>
    <row r="35" spans="1:12" ht="15" customHeight="1" x14ac:dyDescent="0.2">
      <c r="A35" s="12">
        <v>20</v>
      </c>
      <c r="B35" s="13">
        <f>'Year-by-Year Analysis'!B23</f>
        <v>2618861.2902706512</v>
      </c>
      <c r="C35" s="13">
        <f>'Year-by-Year Analysis'!C23</f>
        <v>578154.31409796095</v>
      </c>
      <c r="D35" s="13">
        <f>'Year-by-Year Analysis'!D23</f>
        <v>2040706.9761726903</v>
      </c>
      <c r="E35" s="14">
        <f>IF('Year-by-Year Analysis'!B23=0,0,'Year-by-Year Analysis'!D23/'Year-by-Year Analysis'!B23)</f>
        <v>0.77923446490050241</v>
      </c>
      <c r="F35" s="13">
        <f>'Year-by-Year Analysis'!C22-'Year-by-Year Analysis'!C23</f>
        <v>41605.200386795681</v>
      </c>
      <c r="G35" s="13">
        <f>'Year-by-Year Analysis'!E23-F35</f>
        <v>34551.057379087986</v>
      </c>
      <c r="H35" s="13">
        <f t="shared" si="0"/>
        <v>509345.68590203905</v>
      </c>
      <c r="I35" s="13">
        <f t="shared" si="1"/>
        <v>1013779.4694156348</v>
      </c>
      <c r="J35" s="18"/>
      <c r="K35" s="18"/>
      <c r="L35" s="18"/>
    </row>
    <row r="36" spans="1:12" ht="15" customHeight="1" x14ac:dyDescent="0.2">
      <c r="A36" s="28">
        <v>21</v>
      </c>
      <c r="B36" s="27">
        <f>'Year-by-Year Analysis'!B24</f>
        <v>2697427.1289787707</v>
      </c>
      <c r="C36" s="27">
        <f>'Year-by-Year Analysis'!C24</f>
        <v>534092.74969989061</v>
      </c>
      <c r="D36" s="27">
        <f>'Year-by-Year Analysis'!D24</f>
        <v>2163334.3792788801</v>
      </c>
      <c r="E36" s="31">
        <f>IF('Year-by-Year Analysis'!B24=0,0,'Year-by-Year Analysis'!D24/'Year-by-Year Analysis'!B24)</f>
        <v>0.80199919250382312</v>
      </c>
      <c r="F36" s="27">
        <f>'Year-by-Year Analysis'!C23-'Year-by-Year Analysis'!C24</f>
        <v>44061.564398070332</v>
      </c>
      <c r="G36" s="27">
        <f>'Year-by-Year Analysis'!E24-F36</f>
        <v>32094.693367813335</v>
      </c>
      <c r="H36" s="27">
        <f t="shared" si="0"/>
        <v>553407.25030010939</v>
      </c>
      <c r="I36" s="27">
        <f t="shared" si="1"/>
        <v>1045874.1627834481</v>
      </c>
      <c r="J36" s="18"/>
      <c r="K36" s="18"/>
      <c r="L36" s="18"/>
    </row>
    <row r="37" spans="1:12" ht="15" customHeight="1" x14ac:dyDescent="0.2">
      <c r="A37" s="8">
        <v>22</v>
      </c>
      <c r="B37" s="6">
        <f>'Year-by-Year Analysis'!B25</f>
        <v>2778349.9428481339</v>
      </c>
      <c r="C37" s="6">
        <f>'Year-by-Year Analysis'!C25</f>
        <v>487429.79797375621</v>
      </c>
      <c r="D37" s="6">
        <f>'Year-by-Year Analysis'!D25</f>
        <v>2290920.1448743776</v>
      </c>
      <c r="E37" s="10">
        <f>IF('Year-by-Year Analysis'!B25=0,0,'Year-by-Year Analysis'!D25/'Year-by-Year Analysis'!B25)</f>
        <v>0.82456140946950562</v>
      </c>
      <c r="F37" s="6">
        <f>'Year-by-Year Analysis'!C24-'Year-by-Year Analysis'!C25</f>
        <v>46662.951726134401</v>
      </c>
      <c r="G37" s="6">
        <f>'Year-by-Year Analysis'!E25-F37</f>
        <v>29493.306039749266</v>
      </c>
      <c r="H37" s="6">
        <f t="shared" si="0"/>
        <v>600070.20202624379</v>
      </c>
      <c r="I37" s="6">
        <f t="shared" si="1"/>
        <v>1075367.4688231973</v>
      </c>
      <c r="J37" s="18"/>
      <c r="K37" s="18"/>
      <c r="L37" s="18"/>
    </row>
    <row r="38" spans="1:12" ht="15" customHeight="1" x14ac:dyDescent="0.2">
      <c r="A38" s="28">
        <v>23</v>
      </c>
      <c r="B38" s="27">
        <f>'Year-by-Year Analysis'!B26</f>
        <v>2861700.4411335778</v>
      </c>
      <c r="C38" s="27">
        <f>'Year-by-Year Analysis'!C26</f>
        <v>438011.87345060846</v>
      </c>
      <c r="D38" s="27">
        <f>'Year-by-Year Analysis'!D26</f>
        <v>2423688.5676829694</v>
      </c>
      <c r="E38" s="31">
        <f>IF('Year-by-Year Analysis'!B26=0,0,'Year-by-Year Analysis'!D26/'Year-by-Year Analysis'!B26)</f>
        <v>0.84693999862644498</v>
      </c>
      <c r="F38" s="27">
        <f>'Year-by-Year Analysis'!C25-'Year-by-Year Analysis'!C26</f>
        <v>49417.924523147754</v>
      </c>
      <c r="G38" s="27">
        <f>'Year-by-Year Analysis'!E26-F38</f>
        <v>26738.333242735913</v>
      </c>
      <c r="H38" s="27">
        <f t="shared" si="0"/>
        <v>649488.12654939154</v>
      </c>
      <c r="I38" s="27">
        <f t="shared" si="1"/>
        <v>1102105.8020659331</v>
      </c>
      <c r="J38" s="18"/>
      <c r="K38" s="18"/>
      <c r="L38" s="18"/>
    </row>
    <row r="39" spans="1:12" ht="15" customHeight="1" x14ac:dyDescent="0.2">
      <c r="A39" s="8">
        <v>24</v>
      </c>
      <c r="B39" s="6">
        <f>'Year-by-Year Analysis'!B27</f>
        <v>2947551.4543675855</v>
      </c>
      <c r="C39" s="6">
        <f>'Year-by-Year Analysis'!C27</f>
        <v>385676.32300132792</v>
      </c>
      <c r="D39" s="6">
        <f>'Year-by-Year Analysis'!D27</f>
        <v>2561875.1313662576</v>
      </c>
      <c r="E39" s="10">
        <f>IF('Year-by-Year Analysis'!B27=0,0,'Year-by-Year Analysis'!D27/'Year-by-Year Analysis'!B27)</f>
        <v>0.8691536589022576</v>
      </c>
      <c r="F39" s="6">
        <f>'Year-by-Year Analysis'!C26-'Year-by-Year Analysis'!C27</f>
        <v>52335.550449280534</v>
      </c>
      <c r="G39" s="6">
        <f>'Year-by-Year Analysis'!E27-F39</f>
        <v>23820.707316603133</v>
      </c>
      <c r="H39" s="6">
        <f t="shared" si="0"/>
        <v>701823.67699867208</v>
      </c>
      <c r="I39" s="6">
        <f t="shared" si="1"/>
        <v>1125926.5093825362</v>
      </c>
      <c r="J39" s="18"/>
      <c r="K39" s="18"/>
      <c r="L39" s="18"/>
    </row>
    <row r="40" spans="1:12" ht="15" customHeight="1" x14ac:dyDescent="0.2">
      <c r="A40" s="12">
        <v>25</v>
      </c>
      <c r="B40" s="13">
        <f>'Year-by-Year Analysis'!B28</f>
        <v>3035977.9979986129</v>
      </c>
      <c r="C40" s="13">
        <f>'Year-by-Year Analysis'!C28</f>
        <v>330250.89048349299</v>
      </c>
      <c r="D40" s="13">
        <f>'Year-by-Year Analysis'!D28</f>
        <v>2705727.1075151199</v>
      </c>
      <c r="E40" s="14">
        <f>IF('Year-by-Year Analysis'!B28=0,0,'Year-by-Year Analysis'!D28/'Year-by-Year Analysis'!B28)</f>
        <v>0.89122092100100792</v>
      </c>
      <c r="F40" s="13">
        <f>'Year-by-Year Analysis'!C27-'Year-by-Year Analysis'!C28</f>
        <v>55425.432517834939</v>
      </c>
      <c r="G40" s="13">
        <f>'Year-by-Year Analysis'!E28-F40</f>
        <v>20730.825248048728</v>
      </c>
      <c r="H40" s="13">
        <f t="shared" si="0"/>
        <v>757249.10951650701</v>
      </c>
      <c r="I40" s="13">
        <f t="shared" si="1"/>
        <v>1146657.3346305848</v>
      </c>
      <c r="J40" s="18"/>
      <c r="K40" s="18"/>
      <c r="L40" s="18"/>
    </row>
    <row r="41" spans="1:12" ht="15" customHeight="1" x14ac:dyDescent="0.2">
      <c r="A41" s="8">
        <v>26</v>
      </c>
      <c r="B41" s="6">
        <f>'Year-by-Year Analysis'!B29</f>
        <v>3127057.3379385713</v>
      </c>
      <c r="C41" s="6">
        <f>'Year-by-Year Analysis'!C29</f>
        <v>271553.14978109486</v>
      </c>
      <c r="D41" s="6">
        <f>'Year-by-Year Analysis'!D29</f>
        <v>2855504.1881574765</v>
      </c>
      <c r="E41" s="10">
        <f>IF('Year-by-Year Analysis'!B29=0,0,'Year-by-Year Analysis'!D29/'Year-by-Year Analysis'!B29)</f>
        <v>0.913160162915302</v>
      </c>
      <c r="F41" s="6">
        <f>'Year-by-Year Analysis'!C28-'Year-by-Year Analysis'!C29</f>
        <v>58697.740702398121</v>
      </c>
      <c r="G41" s="6">
        <f>'Year-by-Year Analysis'!E29-F41</f>
        <v>17458.517063485546</v>
      </c>
      <c r="H41" s="6">
        <f t="shared" si="0"/>
        <v>815946.85021890514</v>
      </c>
      <c r="I41" s="6">
        <f t="shared" si="1"/>
        <v>1164115.8516940703</v>
      </c>
      <c r="J41" s="18"/>
      <c r="K41" s="18"/>
      <c r="L41" s="18"/>
    </row>
    <row r="42" spans="1:12" ht="15" customHeight="1" x14ac:dyDescent="0.2">
      <c r="A42" s="28">
        <v>27</v>
      </c>
      <c r="B42" s="27">
        <f>'Year-by-Year Analysis'!B30</f>
        <v>3220869.0580767286</v>
      </c>
      <c r="C42" s="27">
        <f>'Year-by-Year Analysis'!C30</f>
        <v>209389.90437101573</v>
      </c>
      <c r="D42" s="27">
        <f>'Year-by-Year Analysis'!D30</f>
        <v>3011479.1537057129</v>
      </c>
      <c r="E42" s="31">
        <f>IF('Year-by-Year Analysis'!B30=0,0,'Year-by-Year Analysis'!D30/'Year-by-Year Analysis'!B30)</f>
        <v>0.93498962528577667</v>
      </c>
      <c r="F42" s="27">
        <f>'Year-by-Year Analysis'!C29-'Year-by-Year Analysis'!C30</f>
        <v>62163.245410079136</v>
      </c>
      <c r="G42" s="27">
        <f>'Year-by-Year Analysis'!E30-F42</f>
        <v>13993.012355804531</v>
      </c>
      <c r="H42" s="27">
        <f t="shared" si="0"/>
        <v>878110.09562898427</v>
      </c>
      <c r="I42" s="27">
        <f t="shared" si="1"/>
        <v>1178108.8640498747</v>
      </c>
      <c r="J42" s="18"/>
      <c r="K42" s="18"/>
      <c r="L42" s="18"/>
    </row>
    <row r="43" spans="1:12" ht="15" customHeight="1" x14ac:dyDescent="0.2">
      <c r="A43" s="8">
        <v>28</v>
      </c>
      <c r="B43" s="6">
        <f>'Year-by-Year Analysis'!B31</f>
        <v>3317495.1298190304</v>
      </c>
      <c r="C43" s="6">
        <f>'Year-by-Year Analysis'!C31</f>
        <v>143556.55144000985</v>
      </c>
      <c r="D43" s="6">
        <f>'Year-by-Year Analysis'!D31</f>
        <v>3173938.5783790206</v>
      </c>
      <c r="E43" s="10">
        <f>IF('Year-by-Year Analysis'!B31=0,0,'Year-by-Year Analysis'!D31/'Year-by-Year Analysis'!B31)</f>
        <v>0.95672742662086718</v>
      </c>
      <c r="F43" s="6">
        <f>'Year-by-Year Analysis'!C30-'Year-by-Year Analysis'!C31</f>
        <v>65833.35293100588</v>
      </c>
      <c r="G43" s="6">
        <f>'Year-by-Year Analysis'!E31-F43</f>
        <v>10322.904834877787</v>
      </c>
      <c r="H43" s="6">
        <f t="shared" si="0"/>
        <v>943943.44855999015</v>
      </c>
      <c r="I43" s="6">
        <f t="shared" si="1"/>
        <v>1188431.7688847524</v>
      </c>
      <c r="J43" s="18"/>
      <c r="K43" s="18"/>
      <c r="L43" s="18"/>
    </row>
    <row r="44" spans="1:12" ht="15" customHeight="1" x14ac:dyDescent="0.2">
      <c r="A44" s="28">
        <v>29</v>
      </c>
      <c r="B44" s="27">
        <f>'Year-by-Year Analysis'!B32</f>
        <v>3417019.9837136013</v>
      </c>
      <c r="C44" s="27">
        <f>'Year-by-Year Analysis'!C32</f>
        <v>73836.408459254541</v>
      </c>
      <c r="D44" s="27">
        <f>'Year-by-Year Analysis'!D32</f>
        <v>3343183.5752543467</v>
      </c>
      <c r="E44" s="31">
        <f>IF('Year-by-Year Analysis'!B32=0,0,'Year-by-Year Analysis'!D32/'Year-by-Year Analysis'!B32)</f>
        <v>0.97839157838959745</v>
      </c>
      <c r="F44" s="27">
        <f>'Year-by-Year Analysis'!C31-'Year-by-Year Analysis'!C32</f>
        <v>69720.142980755307</v>
      </c>
      <c r="G44" s="27">
        <f>'Year-by-Year Analysis'!E32-F44</f>
        <v>6436.1147851283604</v>
      </c>
      <c r="H44" s="27">
        <f t="shared" si="0"/>
        <v>1013663.5915407455</v>
      </c>
      <c r="I44" s="27">
        <f t="shared" si="1"/>
        <v>1194867.8836698807</v>
      </c>
      <c r="J44" s="18"/>
      <c r="K44" s="18"/>
      <c r="L44" s="18"/>
    </row>
    <row r="45" spans="1:12" ht="15" customHeight="1" x14ac:dyDescent="0.2">
      <c r="A45" s="12">
        <v>30</v>
      </c>
      <c r="B45" s="13">
        <f>'Year-by-Year Analysis'!B33</f>
        <v>3519530.5832250095</v>
      </c>
      <c r="C45" s="13">
        <f>'Year-by-Year Analysis'!C33</f>
        <v>-1.2107193470001221E-8</v>
      </c>
      <c r="D45" s="13">
        <f>'Year-by-Year Analysis'!D33</f>
        <v>3519530.5832250216</v>
      </c>
      <c r="E45" s="14">
        <f>IF('Year-by-Year Analysis'!B33=0,0,'Year-by-Year Analysis'!D33/'Year-by-Year Analysis'!B33)</f>
        <v>1.0000000000000033</v>
      </c>
      <c r="F45" s="13">
        <f>'Year-by-Year Analysis'!C32-'Year-by-Year Analysis'!C33</f>
        <v>73836.408459266648</v>
      </c>
      <c r="G45" s="13">
        <f>'Year-by-Year Analysis'!E33-F45</f>
        <v>2319.8493066170195</v>
      </c>
      <c r="H45" s="13">
        <f t="shared" si="0"/>
        <v>1087500.0000000121</v>
      </c>
      <c r="I45" s="13">
        <f t="shared" si="1"/>
        <v>1197187.7329764976</v>
      </c>
      <c r="J45" s="18"/>
      <c r="K45" s="18"/>
      <c r="L45" s="18"/>
    </row>
    <row r="46" spans="1:12" ht="15" customHeight="1" x14ac:dyDescent="0.2">
      <c r="A46" s="15" t="s">
        <v>174</v>
      </c>
      <c r="B46" s="16"/>
      <c r="C46" s="16"/>
      <c r="D46" s="16"/>
      <c r="E46" s="16"/>
      <c r="F46" s="16"/>
      <c r="G46" s="16"/>
      <c r="H46" s="17">
        <f>SUM(F16:F45)</f>
        <v>1087500.0000000121</v>
      </c>
      <c r="I46" s="17">
        <f>SUM(G16:G45)</f>
        <v>1197187.7329764976</v>
      </c>
      <c r="J46" s="18"/>
      <c r="K46" s="18"/>
      <c r="L46" s="18"/>
    </row>
    <row r="47" spans="1:12" x14ac:dyDescent="0.2">
      <c r="A47" s="18"/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</row>
    <row r="48" spans="1:12" ht="15" customHeight="1" x14ac:dyDescent="0.2">
      <c r="A48" s="57" t="s">
        <v>175</v>
      </c>
      <c r="B48" s="54"/>
      <c r="C48" s="54"/>
      <c r="D48" s="54"/>
      <c r="E48" s="54"/>
      <c r="F48" s="54"/>
      <c r="G48" s="54"/>
      <c r="H48" s="54"/>
      <c r="I48" s="56"/>
      <c r="J48" s="18"/>
      <c r="K48" s="18"/>
      <c r="L48" s="18"/>
    </row>
    <row r="49" spans="1:12" x14ac:dyDescent="0.2">
      <c r="A49" s="18"/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</row>
    <row r="50" spans="1:12" x14ac:dyDescent="0.2">
      <c r="A50" s="18"/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</row>
    <row r="51" spans="1:12" x14ac:dyDescent="0.2">
      <c r="A51" s="18"/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</row>
    <row r="52" spans="1:12" x14ac:dyDescent="0.2">
      <c r="A52" s="18"/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</row>
    <row r="53" spans="1:12" x14ac:dyDescent="0.2">
      <c r="A53" s="18"/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</row>
    <row r="54" spans="1:12" x14ac:dyDescent="0.2">
      <c r="A54" s="18"/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</row>
    <row r="55" spans="1:12" x14ac:dyDescent="0.2">
      <c r="A55" s="18"/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</row>
    <row r="56" spans="1:12" x14ac:dyDescent="0.2">
      <c r="A56" s="18"/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</row>
    <row r="57" spans="1:12" x14ac:dyDescent="0.2">
      <c r="A57" s="18"/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8"/>
    </row>
    <row r="58" spans="1:12" x14ac:dyDescent="0.2">
      <c r="A58" s="18"/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</row>
    <row r="59" spans="1:12" x14ac:dyDescent="0.2">
      <c r="A59" s="18"/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</row>
    <row r="60" spans="1:12" x14ac:dyDescent="0.2">
      <c r="A60" s="18"/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</row>
    <row r="61" spans="1:12" x14ac:dyDescent="0.2">
      <c r="A61" s="18"/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8"/>
    </row>
    <row r="62" spans="1:12" x14ac:dyDescent="0.2">
      <c r="A62" s="18"/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</row>
    <row r="63" spans="1:12" x14ac:dyDescent="0.2">
      <c r="A63" s="18"/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8"/>
    </row>
    <row r="64" spans="1:12" x14ac:dyDescent="0.2">
      <c r="A64" s="18"/>
      <c r="B64" s="18"/>
      <c r="C64" s="18"/>
      <c r="D64" s="18"/>
      <c r="E64" s="18"/>
      <c r="F64" s="18"/>
      <c r="G64" s="18"/>
      <c r="H64" s="18"/>
      <c r="I64" s="18"/>
      <c r="J64" s="18"/>
      <c r="K64" s="18"/>
      <c r="L64" s="18"/>
    </row>
    <row r="65" spans="1:12" x14ac:dyDescent="0.2">
      <c r="A65" s="18"/>
      <c r="B65" s="18"/>
      <c r="C65" s="18"/>
      <c r="D65" s="18"/>
      <c r="E65" s="18"/>
      <c r="F65" s="18"/>
      <c r="G65" s="18"/>
      <c r="H65" s="18"/>
      <c r="I65" s="18"/>
      <c r="J65" s="18"/>
      <c r="K65" s="18"/>
      <c r="L65" s="18"/>
    </row>
    <row r="66" spans="1:12" x14ac:dyDescent="0.2">
      <c r="A66" s="18"/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</row>
    <row r="67" spans="1:12" x14ac:dyDescent="0.2">
      <c r="A67" s="18"/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18"/>
    </row>
    <row r="68" spans="1:12" x14ac:dyDescent="0.2">
      <c r="A68" s="18"/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18"/>
    </row>
    <row r="69" spans="1:12" x14ac:dyDescent="0.2">
      <c r="A69" s="18"/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</row>
    <row r="70" spans="1:12" x14ac:dyDescent="0.2">
      <c r="A70" s="18"/>
      <c r="B70" s="18"/>
      <c r="C70" s="18"/>
      <c r="D70" s="18"/>
      <c r="E70" s="18"/>
      <c r="F70" s="18"/>
      <c r="G70" s="18"/>
      <c r="H70" s="18"/>
      <c r="I70" s="18"/>
      <c r="J70" s="18"/>
      <c r="K70" s="18"/>
      <c r="L70" s="18"/>
    </row>
    <row r="71" spans="1:12" x14ac:dyDescent="0.2">
      <c r="A71" s="18"/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</row>
    <row r="72" spans="1:12" x14ac:dyDescent="0.2">
      <c r="A72" s="18"/>
      <c r="B72" s="18"/>
      <c r="C72" s="18"/>
      <c r="D72" s="18"/>
      <c r="E72" s="18"/>
      <c r="F72" s="18"/>
      <c r="G72" s="18"/>
      <c r="H72" s="18"/>
      <c r="I72" s="18"/>
      <c r="J72" s="18"/>
      <c r="K72" s="18"/>
      <c r="L72" s="18"/>
    </row>
    <row r="73" spans="1:12" x14ac:dyDescent="0.2">
      <c r="A73" s="18"/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18"/>
    </row>
    <row r="74" spans="1:12" x14ac:dyDescent="0.2">
      <c r="A74" s="18"/>
      <c r="B74" s="18"/>
      <c r="C74" s="18"/>
      <c r="D74" s="18"/>
      <c r="E74" s="18"/>
      <c r="F74" s="18"/>
      <c r="G74" s="18"/>
      <c r="H74" s="18"/>
      <c r="I74" s="18"/>
      <c r="J74" s="18"/>
      <c r="K74" s="18"/>
      <c r="L74" s="18"/>
    </row>
    <row r="75" spans="1:12" x14ac:dyDescent="0.2">
      <c r="A75" s="18"/>
      <c r="B75" s="18"/>
      <c r="C75" s="18"/>
      <c r="D75" s="18"/>
      <c r="E75" s="18"/>
      <c r="F75" s="18"/>
      <c r="G75" s="18"/>
      <c r="H75" s="18"/>
      <c r="I75" s="18"/>
      <c r="J75" s="18"/>
      <c r="K75" s="18"/>
      <c r="L75" s="18"/>
    </row>
    <row r="76" spans="1:12" x14ac:dyDescent="0.2">
      <c r="A76" s="18"/>
      <c r="B76" s="18"/>
      <c r="C76" s="18"/>
      <c r="D76" s="18"/>
      <c r="E76" s="18"/>
      <c r="F76" s="18"/>
      <c r="G76" s="18"/>
      <c r="H76" s="18"/>
      <c r="I76" s="18"/>
      <c r="J76" s="18"/>
      <c r="K76" s="18"/>
      <c r="L76" s="18"/>
    </row>
    <row r="77" spans="1:12" x14ac:dyDescent="0.2">
      <c r="A77" s="18"/>
      <c r="B77" s="18"/>
      <c r="C77" s="18"/>
      <c r="D77" s="18"/>
      <c r="E77" s="18"/>
      <c r="F77" s="18"/>
      <c r="G77" s="18"/>
      <c r="H77" s="18"/>
      <c r="I77" s="18"/>
      <c r="J77" s="18"/>
      <c r="K77" s="18"/>
      <c r="L77" s="18"/>
    </row>
    <row r="78" spans="1:12" x14ac:dyDescent="0.2">
      <c r="A78" s="18"/>
      <c r="B78" s="18"/>
      <c r="C78" s="18"/>
      <c r="D78" s="18"/>
      <c r="E78" s="18"/>
      <c r="F78" s="18"/>
      <c r="G78" s="18"/>
      <c r="H78" s="18"/>
      <c r="I78" s="18"/>
      <c r="J78" s="18"/>
      <c r="K78" s="18"/>
      <c r="L78" s="18"/>
    </row>
    <row r="79" spans="1:12" x14ac:dyDescent="0.2">
      <c r="A79" s="18"/>
      <c r="B79" s="18"/>
      <c r="C79" s="18"/>
      <c r="D79" s="18"/>
      <c r="E79" s="18"/>
      <c r="F79" s="18"/>
      <c r="G79" s="18"/>
      <c r="H79" s="18"/>
      <c r="I79" s="18"/>
      <c r="J79" s="18"/>
      <c r="K79" s="18"/>
      <c r="L79" s="18"/>
    </row>
    <row r="80" spans="1:12" x14ac:dyDescent="0.2">
      <c r="A80" s="18"/>
      <c r="B80" s="18"/>
      <c r="C80" s="18"/>
      <c r="D80" s="18"/>
      <c r="E80" s="18"/>
      <c r="F80" s="18"/>
      <c r="G80" s="18"/>
      <c r="H80" s="18"/>
      <c r="I80" s="18"/>
      <c r="J80" s="18"/>
      <c r="K80" s="18"/>
      <c r="L80" s="18"/>
    </row>
    <row r="81" spans="1:12" x14ac:dyDescent="0.2">
      <c r="A81" s="18"/>
      <c r="B81" s="18"/>
      <c r="C81" s="18"/>
      <c r="D81" s="18"/>
      <c r="E81" s="18"/>
      <c r="F81" s="18"/>
      <c r="G81" s="18"/>
      <c r="H81" s="18"/>
      <c r="I81" s="18"/>
      <c r="J81" s="18"/>
      <c r="K81" s="18"/>
      <c r="L81" s="18"/>
    </row>
    <row r="82" spans="1:12" x14ac:dyDescent="0.2">
      <c r="A82" s="18"/>
      <c r="B82" s="18"/>
      <c r="C82" s="18"/>
      <c r="D82" s="18"/>
      <c r="E82" s="18"/>
      <c r="F82" s="18"/>
      <c r="G82" s="18"/>
      <c r="H82" s="18"/>
      <c r="I82" s="18"/>
      <c r="J82" s="18"/>
      <c r="K82" s="18"/>
      <c r="L82" s="18"/>
    </row>
    <row r="83" spans="1:12" x14ac:dyDescent="0.2">
      <c r="A83" s="18"/>
      <c r="B83" s="18"/>
      <c r="C83" s="18"/>
      <c r="D83" s="18"/>
      <c r="E83" s="18"/>
      <c r="F83" s="18"/>
      <c r="G83" s="18"/>
      <c r="H83" s="18"/>
      <c r="I83" s="18"/>
      <c r="J83" s="18"/>
      <c r="K83" s="18"/>
      <c r="L83" s="18"/>
    </row>
    <row r="84" spans="1:12" x14ac:dyDescent="0.2">
      <c r="A84" s="18"/>
      <c r="B84" s="18"/>
      <c r="C84" s="18"/>
      <c r="D84" s="18"/>
      <c r="E84" s="18"/>
      <c r="F84" s="18"/>
      <c r="G84" s="18"/>
      <c r="H84" s="18"/>
      <c r="I84" s="18"/>
      <c r="J84" s="18"/>
      <c r="K84" s="18"/>
      <c r="L84" s="18"/>
    </row>
    <row r="85" spans="1:12" x14ac:dyDescent="0.2">
      <c r="A85" s="18"/>
      <c r="B85" s="18"/>
      <c r="C85" s="18"/>
      <c r="D85" s="18"/>
      <c r="E85" s="18"/>
      <c r="F85" s="18"/>
      <c r="G85" s="18"/>
      <c r="H85" s="18"/>
      <c r="I85" s="18"/>
      <c r="J85" s="18"/>
      <c r="K85" s="18"/>
      <c r="L85" s="18"/>
    </row>
    <row r="86" spans="1:12" x14ac:dyDescent="0.2">
      <c r="A86" s="18"/>
      <c r="B86" s="18"/>
      <c r="C86" s="18"/>
      <c r="D86" s="18"/>
      <c r="E86" s="18"/>
      <c r="F86" s="18"/>
      <c r="G86" s="18"/>
      <c r="H86" s="18"/>
      <c r="I86" s="18"/>
      <c r="J86" s="18"/>
      <c r="K86" s="18"/>
      <c r="L86" s="18"/>
    </row>
    <row r="87" spans="1:12" x14ac:dyDescent="0.2">
      <c r="A87" s="18"/>
      <c r="B87" s="18"/>
      <c r="C87" s="18"/>
      <c r="D87" s="18"/>
      <c r="E87" s="18"/>
      <c r="F87" s="18"/>
      <c r="G87" s="18"/>
      <c r="H87" s="18"/>
      <c r="I87" s="18"/>
      <c r="J87" s="18"/>
      <c r="K87" s="18"/>
      <c r="L87" s="18"/>
    </row>
    <row r="88" spans="1:12" x14ac:dyDescent="0.2">
      <c r="A88" s="18"/>
      <c r="B88" s="18"/>
      <c r="C88" s="18"/>
      <c r="D88" s="18"/>
      <c r="E88" s="18"/>
      <c r="F88" s="18"/>
      <c r="G88" s="18"/>
      <c r="H88" s="18"/>
      <c r="I88" s="18"/>
      <c r="J88" s="18"/>
      <c r="K88" s="18"/>
      <c r="L88" s="18"/>
    </row>
    <row r="89" spans="1:12" x14ac:dyDescent="0.2">
      <c r="A89" s="18"/>
      <c r="B89" s="18"/>
      <c r="C89" s="18"/>
      <c r="D89" s="18"/>
      <c r="E89" s="18"/>
      <c r="F89" s="18"/>
      <c r="G89" s="18"/>
      <c r="H89" s="18"/>
      <c r="I89" s="18"/>
      <c r="J89" s="18"/>
      <c r="K89" s="18"/>
      <c r="L89" s="18"/>
    </row>
    <row r="90" spans="1:12" x14ac:dyDescent="0.2">
      <c r="A90" s="18"/>
      <c r="B90" s="18"/>
      <c r="C90" s="18"/>
      <c r="D90" s="18"/>
      <c r="E90" s="18"/>
      <c r="F90" s="18"/>
      <c r="G90" s="18"/>
      <c r="H90" s="18"/>
      <c r="I90" s="18"/>
      <c r="J90" s="18"/>
      <c r="K90" s="18"/>
      <c r="L90" s="18"/>
    </row>
    <row r="91" spans="1:12" x14ac:dyDescent="0.2">
      <c r="A91" s="18"/>
      <c r="B91" s="18"/>
      <c r="C91" s="18"/>
      <c r="D91" s="18"/>
      <c r="E91" s="18"/>
      <c r="F91" s="18"/>
      <c r="G91" s="18"/>
      <c r="H91" s="18"/>
      <c r="I91" s="18"/>
      <c r="J91" s="18"/>
      <c r="K91" s="18"/>
      <c r="L91" s="18"/>
    </row>
    <row r="92" spans="1:12" x14ac:dyDescent="0.2">
      <c r="A92" s="18"/>
      <c r="B92" s="18"/>
      <c r="C92" s="18"/>
      <c r="D92" s="18"/>
      <c r="E92" s="18"/>
      <c r="F92" s="18"/>
      <c r="G92" s="18"/>
      <c r="H92" s="18"/>
      <c r="I92" s="18"/>
      <c r="J92" s="18"/>
      <c r="K92" s="18"/>
      <c r="L92" s="18"/>
    </row>
    <row r="93" spans="1:12" x14ac:dyDescent="0.2">
      <c r="A93" s="18"/>
      <c r="B93" s="18"/>
      <c r="C93" s="18"/>
      <c r="D93" s="18"/>
      <c r="E93" s="18"/>
      <c r="F93" s="18"/>
      <c r="G93" s="18"/>
      <c r="H93" s="18"/>
      <c r="I93" s="18"/>
      <c r="J93" s="18"/>
      <c r="K93" s="18"/>
      <c r="L93" s="18"/>
    </row>
    <row r="94" spans="1:12" x14ac:dyDescent="0.2">
      <c r="A94" s="18"/>
      <c r="B94" s="18"/>
      <c r="C94" s="18"/>
      <c r="D94" s="18"/>
      <c r="E94" s="18"/>
      <c r="F94" s="18"/>
      <c r="G94" s="18"/>
      <c r="H94" s="18"/>
      <c r="I94" s="18"/>
      <c r="J94" s="18"/>
      <c r="K94" s="18"/>
      <c r="L94" s="18"/>
    </row>
    <row r="95" spans="1:12" x14ac:dyDescent="0.2">
      <c r="A95" s="18"/>
      <c r="B95" s="18"/>
      <c r="C95" s="18"/>
      <c r="D95" s="18"/>
      <c r="E95" s="18"/>
      <c r="F95" s="18"/>
      <c r="G95" s="18"/>
      <c r="H95" s="18"/>
      <c r="I95" s="18"/>
      <c r="J95" s="18"/>
      <c r="K95" s="18"/>
      <c r="L95" s="18"/>
    </row>
    <row r="96" spans="1:12" x14ac:dyDescent="0.2">
      <c r="A96" s="18"/>
      <c r="B96" s="18"/>
      <c r="C96" s="18"/>
      <c r="D96" s="18"/>
      <c r="E96" s="18"/>
      <c r="F96" s="18"/>
      <c r="G96" s="18"/>
      <c r="H96" s="18"/>
      <c r="I96" s="18"/>
      <c r="J96" s="18"/>
      <c r="K96" s="18"/>
      <c r="L96" s="18"/>
    </row>
    <row r="97" spans="1:12" x14ac:dyDescent="0.2">
      <c r="A97" s="18"/>
      <c r="B97" s="18"/>
      <c r="C97" s="18"/>
      <c r="D97" s="18"/>
      <c r="E97" s="18"/>
      <c r="F97" s="18"/>
      <c r="G97" s="18"/>
      <c r="H97" s="18"/>
      <c r="I97" s="18"/>
      <c r="J97" s="18"/>
      <c r="K97" s="18"/>
      <c r="L97" s="18"/>
    </row>
    <row r="98" spans="1:12" x14ac:dyDescent="0.2">
      <c r="A98" s="18"/>
      <c r="B98" s="18"/>
      <c r="C98" s="18"/>
      <c r="D98" s="18"/>
      <c r="E98" s="18"/>
      <c r="F98" s="18"/>
      <c r="G98" s="18"/>
      <c r="H98" s="18"/>
      <c r="I98" s="18"/>
      <c r="J98" s="18"/>
      <c r="K98" s="18"/>
      <c r="L98" s="18"/>
    </row>
    <row r="99" spans="1:12" x14ac:dyDescent="0.2">
      <c r="A99" s="18"/>
      <c r="B99" s="18"/>
      <c r="C99" s="18"/>
      <c r="D99" s="18"/>
      <c r="E99" s="18"/>
      <c r="F99" s="18"/>
      <c r="G99" s="18"/>
      <c r="H99" s="18"/>
      <c r="I99" s="18"/>
      <c r="J99" s="18"/>
      <c r="K99" s="18"/>
      <c r="L99" s="18"/>
    </row>
    <row r="100" spans="1:12" x14ac:dyDescent="0.2">
      <c r="A100" s="18"/>
      <c r="B100" s="18"/>
      <c r="C100" s="18"/>
      <c r="D100" s="18"/>
      <c r="E100" s="18"/>
      <c r="F100" s="18"/>
      <c r="G100" s="18"/>
      <c r="H100" s="18"/>
      <c r="I100" s="18"/>
      <c r="J100" s="18"/>
      <c r="K100" s="18"/>
      <c r="L100" s="18"/>
    </row>
    <row r="101" spans="1:12" ht="15" customHeight="1" x14ac:dyDescent="0.2">
      <c r="A101" s="55" t="s">
        <v>176</v>
      </c>
      <c r="B101" s="54"/>
      <c r="C101" s="54"/>
      <c r="D101" s="54"/>
      <c r="E101" s="54"/>
      <c r="F101" s="54"/>
      <c r="G101" s="54"/>
      <c r="H101" s="54"/>
      <c r="I101" s="56"/>
      <c r="J101" s="18"/>
      <c r="K101" s="18"/>
      <c r="L101" s="18"/>
    </row>
    <row r="102" spans="1:12" ht="31.5" customHeight="1" x14ac:dyDescent="0.2">
      <c r="A102" s="77" t="s">
        <v>177</v>
      </c>
      <c r="B102" s="54"/>
      <c r="C102" s="54"/>
      <c r="D102" s="54"/>
      <c r="E102" s="54"/>
      <c r="F102" s="54"/>
      <c r="G102" s="54"/>
      <c r="H102" s="54"/>
      <c r="I102" s="56"/>
      <c r="J102" s="18"/>
      <c r="K102" s="18"/>
      <c r="L102" s="18"/>
    </row>
    <row r="103" spans="1:12" ht="31.5" customHeight="1" x14ac:dyDescent="0.2">
      <c r="A103" s="75" t="s">
        <v>178</v>
      </c>
      <c r="B103" s="54"/>
      <c r="C103" s="54"/>
      <c r="D103" s="54"/>
      <c r="E103" s="54"/>
      <c r="F103" s="54"/>
      <c r="G103" s="54"/>
      <c r="H103" s="54"/>
      <c r="I103" s="56"/>
      <c r="J103" s="18"/>
      <c r="K103" s="18"/>
      <c r="L103" s="18"/>
    </row>
    <row r="104" spans="1:12" ht="31.5" customHeight="1" x14ac:dyDescent="0.2">
      <c r="A104" s="77" t="s">
        <v>179</v>
      </c>
      <c r="B104" s="54"/>
      <c r="C104" s="54"/>
      <c r="D104" s="54"/>
      <c r="E104" s="54"/>
      <c r="F104" s="54"/>
      <c r="G104" s="54"/>
      <c r="H104" s="54"/>
      <c r="I104" s="56"/>
      <c r="J104" s="18"/>
      <c r="K104" s="18"/>
      <c r="L104" s="18"/>
    </row>
    <row r="105" spans="1:12" ht="31.5" customHeight="1" x14ac:dyDescent="0.2">
      <c r="A105" s="75" t="s">
        <v>180</v>
      </c>
      <c r="B105" s="54"/>
      <c r="C105" s="54"/>
      <c r="D105" s="54"/>
      <c r="E105" s="54"/>
      <c r="F105" s="54"/>
      <c r="G105" s="54"/>
      <c r="H105" s="54"/>
      <c r="I105" s="56"/>
      <c r="J105" s="18"/>
      <c r="K105" s="18"/>
      <c r="L105" s="18"/>
    </row>
    <row r="106" spans="1:12" ht="31.5" customHeight="1" x14ac:dyDescent="0.2">
      <c r="A106" s="77" t="s">
        <v>181</v>
      </c>
      <c r="B106" s="54"/>
      <c r="C106" s="54"/>
      <c r="D106" s="54"/>
      <c r="E106" s="54"/>
      <c r="F106" s="54"/>
      <c r="G106" s="54"/>
      <c r="H106" s="54"/>
      <c r="I106" s="56"/>
      <c r="J106" s="18"/>
      <c r="K106" s="18"/>
      <c r="L106" s="18"/>
    </row>
    <row r="107" spans="1:12" ht="31.5" customHeight="1" x14ac:dyDescent="0.2">
      <c r="A107" s="75" t="s">
        <v>182</v>
      </c>
      <c r="B107" s="54"/>
      <c r="C107" s="54"/>
      <c r="D107" s="54"/>
      <c r="E107" s="54"/>
      <c r="F107" s="54"/>
      <c r="G107" s="54"/>
      <c r="H107" s="54"/>
      <c r="I107" s="56"/>
      <c r="J107" s="18"/>
      <c r="K107" s="18"/>
      <c r="L107" s="18"/>
    </row>
    <row r="108" spans="1:12" x14ac:dyDescent="0.2">
      <c r="A108" s="18"/>
      <c r="B108" s="18"/>
      <c r="C108" s="18"/>
      <c r="D108" s="18"/>
      <c r="E108" s="18"/>
      <c r="F108" s="18"/>
      <c r="G108" s="18"/>
      <c r="H108" s="18"/>
      <c r="I108" s="18"/>
      <c r="J108" s="18"/>
      <c r="K108" s="18"/>
      <c r="L108" s="18"/>
    </row>
    <row r="109" spans="1:12" x14ac:dyDescent="0.2">
      <c r="A109" s="18"/>
      <c r="B109" s="18"/>
      <c r="C109" s="18"/>
      <c r="D109" s="18"/>
      <c r="E109" s="18"/>
      <c r="F109" s="18"/>
      <c r="G109" s="18"/>
      <c r="H109" s="18"/>
      <c r="I109" s="18"/>
      <c r="J109" s="18"/>
      <c r="K109" s="18"/>
      <c r="L109" s="18"/>
    </row>
    <row r="110" spans="1:12" x14ac:dyDescent="0.2">
      <c r="A110" s="18"/>
      <c r="B110" s="18"/>
      <c r="C110" s="18"/>
      <c r="D110" s="18"/>
      <c r="E110" s="18"/>
      <c r="F110" s="18"/>
      <c r="G110" s="18"/>
      <c r="H110" s="18"/>
      <c r="I110" s="18"/>
      <c r="J110" s="18"/>
      <c r="K110" s="18"/>
      <c r="L110" s="18"/>
    </row>
    <row r="111" spans="1:12" x14ac:dyDescent="0.2">
      <c r="A111" s="18"/>
      <c r="B111" s="18"/>
      <c r="C111" s="18"/>
      <c r="D111" s="18"/>
      <c r="E111" s="18"/>
      <c r="F111" s="18"/>
      <c r="G111" s="18"/>
      <c r="H111" s="18"/>
      <c r="I111" s="18"/>
      <c r="J111" s="18"/>
      <c r="K111" s="18"/>
      <c r="L111" s="18"/>
    </row>
    <row r="112" spans="1:12" x14ac:dyDescent="0.2">
      <c r="A112" s="18"/>
      <c r="B112" s="18"/>
      <c r="C112" s="18"/>
      <c r="D112" s="18"/>
      <c r="E112" s="18"/>
      <c r="F112" s="18"/>
      <c r="G112" s="18"/>
      <c r="H112" s="18"/>
      <c r="I112" s="18"/>
      <c r="J112" s="18"/>
      <c r="K112" s="18"/>
      <c r="L112" s="18"/>
    </row>
  </sheetData>
  <sheetProtection algorithmName="SHA-512" hashValue="QL+6DGFSV+5XPSgvNWZpjy7fMh0YriNse/999dsS1x0QmuWqBY5vIpV961hCYLjiSpHNmzBU+Op4jbdnwU08IQ==" saltValue="0pv1M2W8REEdhVWJPjO+Xg==" spinCount="100000" sheet="1" objects="1" scenarios="1" selectLockedCells="1"/>
  <mergeCells count="12">
    <mergeCell ref="A107:I107"/>
    <mergeCell ref="A103:I103"/>
    <mergeCell ref="A14:I14"/>
    <mergeCell ref="A102:I102"/>
    <mergeCell ref="A1:I1"/>
    <mergeCell ref="A106:I106"/>
    <mergeCell ref="A105:I105"/>
    <mergeCell ref="A4:I4"/>
    <mergeCell ref="A48:I48"/>
    <mergeCell ref="A101:I101"/>
    <mergeCell ref="A104:I104"/>
    <mergeCell ref="A2:I2"/>
  </mergeCells>
  <pageMargins left="0.75" right="0.75" top="1" bottom="1" header="0.511811023622047" footer="0.511811023622047"/>
  <pageSetup paperSize="9" orientation="portrait" horizontalDpi="300" verticalDpi="30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29"/>
  <sheetViews>
    <sheetView showGridLines="0" tabSelected="1" zoomScale="130" zoomScaleNormal="130" workbookViewId="0">
      <selection activeCell="A24" sqref="A24:F24"/>
    </sheetView>
  </sheetViews>
  <sheetFormatPr baseColWidth="10" defaultColWidth="8.6640625" defaultRowHeight="15" x14ac:dyDescent="0.2"/>
  <cols>
    <col min="1" max="1" width="28" customWidth="1"/>
    <col min="2" max="2" width="16" customWidth="1"/>
    <col min="3" max="3" width="18" customWidth="1"/>
    <col min="4" max="4" width="16" customWidth="1"/>
    <col min="5" max="5" width="14" customWidth="1"/>
    <col min="6" max="6" width="50" customWidth="1"/>
  </cols>
  <sheetData>
    <row r="1" spans="1:9" ht="45" customHeight="1" x14ac:dyDescent="0.2">
      <c r="A1" s="74" t="s">
        <v>99</v>
      </c>
      <c r="B1" s="52"/>
      <c r="C1" s="52"/>
      <c r="D1" s="52"/>
      <c r="E1" s="52"/>
      <c r="F1" s="52"/>
      <c r="G1" s="18"/>
      <c r="H1" s="18"/>
      <c r="I1" s="18"/>
    </row>
    <row r="2" spans="1:9" ht="31" customHeight="1" x14ac:dyDescent="0.2">
      <c r="A2" s="82" t="s">
        <v>188</v>
      </c>
      <c r="B2" s="83"/>
      <c r="C2" s="83"/>
      <c r="D2" s="83"/>
      <c r="E2" s="83"/>
      <c r="F2" s="83"/>
      <c r="G2" s="18"/>
      <c r="H2" s="18"/>
      <c r="I2" s="18"/>
    </row>
    <row r="3" spans="1:9" ht="15" customHeight="1" x14ac:dyDescent="0.2">
      <c r="A3" s="49"/>
    </row>
    <row r="4" spans="1:9" ht="15" customHeight="1" x14ac:dyDescent="0.2">
      <c r="A4" s="72" t="s">
        <v>100</v>
      </c>
      <c r="B4" s="52"/>
      <c r="C4" s="52"/>
      <c r="D4" s="52"/>
      <c r="E4" s="52"/>
      <c r="F4" s="52"/>
      <c r="G4" s="18"/>
      <c r="H4" s="18"/>
      <c r="I4" s="18"/>
    </row>
    <row r="5" spans="1:9" ht="15" customHeight="1" x14ac:dyDescent="0.2">
      <c r="A5" s="72" t="s">
        <v>101</v>
      </c>
      <c r="B5" s="52"/>
      <c r="C5" s="52"/>
      <c r="D5" s="52"/>
      <c r="E5" s="52"/>
      <c r="F5" s="52"/>
      <c r="G5" s="18"/>
      <c r="H5" s="18"/>
      <c r="I5" s="18"/>
    </row>
    <row r="6" spans="1:9" x14ac:dyDescent="0.2">
      <c r="A6" s="18"/>
      <c r="B6" s="18"/>
      <c r="C6" s="18"/>
      <c r="D6" s="18"/>
      <c r="E6" s="18"/>
      <c r="F6" s="18"/>
      <c r="G6" s="18"/>
      <c r="H6" s="18"/>
      <c r="I6" s="18"/>
    </row>
    <row r="7" spans="1:9" ht="15" customHeight="1" x14ac:dyDescent="0.2">
      <c r="A7" s="66" t="s">
        <v>102</v>
      </c>
      <c r="B7" s="52"/>
      <c r="C7" s="52"/>
      <c r="D7" s="52"/>
      <c r="E7" s="52"/>
      <c r="F7" s="52"/>
      <c r="G7" s="18"/>
      <c r="H7" s="18"/>
      <c r="I7" s="18"/>
    </row>
    <row r="8" spans="1:9" ht="15" customHeight="1" x14ac:dyDescent="0.2">
      <c r="A8" s="4" t="s">
        <v>103</v>
      </c>
      <c r="B8" s="4" t="s">
        <v>104</v>
      </c>
      <c r="C8" s="4" t="s">
        <v>105</v>
      </c>
      <c r="D8" s="4" t="s">
        <v>106</v>
      </c>
      <c r="E8" s="4" t="s">
        <v>107</v>
      </c>
      <c r="F8" s="4" t="s">
        <v>108</v>
      </c>
      <c r="G8" s="18"/>
      <c r="H8" s="18"/>
      <c r="I8" s="18"/>
    </row>
    <row r="9" spans="1:9" ht="15" customHeight="1" x14ac:dyDescent="0.2">
      <c r="A9" s="5" t="s">
        <v>109</v>
      </c>
      <c r="B9" s="5" t="s">
        <v>110</v>
      </c>
      <c r="C9" s="5" t="s">
        <v>111</v>
      </c>
      <c r="D9" s="5" t="s">
        <v>112</v>
      </c>
      <c r="E9" s="5" t="s">
        <v>113</v>
      </c>
      <c r="F9" s="5" t="s">
        <v>114</v>
      </c>
      <c r="G9" s="18"/>
      <c r="H9" s="18"/>
      <c r="I9" s="18"/>
    </row>
    <row r="10" spans="1:9" ht="15" customHeight="1" x14ac:dyDescent="0.2">
      <c r="A10" s="25" t="s">
        <v>115</v>
      </c>
      <c r="B10" s="25" t="s">
        <v>116</v>
      </c>
      <c r="C10" s="25" t="s">
        <v>112</v>
      </c>
      <c r="D10" s="25" t="s">
        <v>110</v>
      </c>
      <c r="E10" s="25" t="s">
        <v>117</v>
      </c>
      <c r="F10" s="25" t="s">
        <v>118</v>
      </c>
      <c r="G10" s="18"/>
      <c r="H10" s="18"/>
      <c r="I10" s="18"/>
    </row>
    <row r="11" spans="1:9" ht="15" customHeight="1" x14ac:dyDescent="0.2">
      <c r="A11" s="5" t="s">
        <v>119</v>
      </c>
      <c r="B11" s="5" t="s">
        <v>120</v>
      </c>
      <c r="C11" s="5" t="s">
        <v>112</v>
      </c>
      <c r="D11" s="5" t="s">
        <v>110</v>
      </c>
      <c r="E11" s="5" t="s">
        <v>117</v>
      </c>
      <c r="F11" s="5" t="s">
        <v>121</v>
      </c>
      <c r="G11" s="18"/>
      <c r="H11" s="18"/>
      <c r="I11" s="18"/>
    </row>
    <row r="12" spans="1:9" ht="15" customHeight="1" x14ac:dyDescent="0.2">
      <c r="A12" s="26" t="s">
        <v>122</v>
      </c>
      <c r="B12" s="26" t="s">
        <v>123</v>
      </c>
      <c r="C12" s="26" t="s">
        <v>124</v>
      </c>
      <c r="D12" s="26" t="s">
        <v>112</v>
      </c>
      <c r="E12" s="26" t="s">
        <v>125</v>
      </c>
      <c r="F12" s="26" t="s">
        <v>126</v>
      </c>
      <c r="G12" s="18"/>
      <c r="H12" s="18"/>
      <c r="I12" s="18"/>
    </row>
    <row r="13" spans="1:9" ht="15" customHeight="1" x14ac:dyDescent="0.2">
      <c r="A13" s="5" t="s">
        <v>127</v>
      </c>
      <c r="B13" s="5" t="s">
        <v>124</v>
      </c>
      <c r="C13" s="5" t="s">
        <v>128</v>
      </c>
      <c r="D13" s="5" t="s">
        <v>129</v>
      </c>
      <c r="E13" s="5" t="s">
        <v>130</v>
      </c>
      <c r="F13" s="5" t="s">
        <v>131</v>
      </c>
      <c r="G13" s="18"/>
      <c r="H13" s="18"/>
      <c r="I13" s="18"/>
    </row>
    <row r="14" spans="1:9" ht="15" customHeight="1" x14ac:dyDescent="0.2">
      <c r="A14" s="26" t="s">
        <v>132</v>
      </c>
      <c r="B14" s="26" t="s">
        <v>110</v>
      </c>
      <c r="C14" s="26" t="s">
        <v>133</v>
      </c>
      <c r="D14" s="26" t="s">
        <v>134</v>
      </c>
      <c r="E14" s="26" t="s">
        <v>113</v>
      </c>
      <c r="F14" s="26" t="s">
        <v>135</v>
      </c>
      <c r="G14" s="18"/>
      <c r="H14" s="18"/>
      <c r="I14" s="18"/>
    </row>
    <row r="15" spans="1:9" x14ac:dyDescent="0.2">
      <c r="A15" s="18"/>
      <c r="B15" s="18"/>
      <c r="C15" s="18"/>
      <c r="D15" s="18"/>
      <c r="E15" s="18"/>
      <c r="F15" s="18"/>
      <c r="G15" s="18"/>
      <c r="H15" s="18"/>
      <c r="I15" s="18"/>
    </row>
    <row r="16" spans="1:9" ht="15" customHeight="1" x14ac:dyDescent="0.2">
      <c r="A16" s="66" t="s">
        <v>136</v>
      </c>
      <c r="B16" s="52"/>
      <c r="C16" s="52"/>
      <c r="D16" s="52"/>
      <c r="E16" s="52"/>
      <c r="F16" s="52"/>
      <c r="G16" s="18"/>
      <c r="H16" s="18"/>
      <c r="I16" s="18"/>
    </row>
    <row r="17" spans="1:9" ht="30" customHeight="1" x14ac:dyDescent="0.2">
      <c r="A17" s="81" t="s">
        <v>137</v>
      </c>
      <c r="B17" s="52"/>
      <c r="C17" s="52"/>
      <c r="D17" s="52"/>
      <c r="E17" s="52"/>
      <c r="F17" s="52"/>
      <c r="G17" s="18"/>
      <c r="H17" s="18"/>
      <c r="I17" s="18"/>
    </row>
    <row r="18" spans="1:9" ht="30" customHeight="1" x14ac:dyDescent="0.2">
      <c r="A18" s="80" t="s">
        <v>138</v>
      </c>
      <c r="B18" s="52"/>
      <c r="C18" s="52"/>
      <c r="D18" s="52"/>
      <c r="E18" s="52"/>
      <c r="F18" s="52"/>
      <c r="G18" s="18"/>
      <c r="H18" s="18"/>
      <c r="I18" s="18"/>
    </row>
    <row r="19" spans="1:9" ht="30" customHeight="1" x14ac:dyDescent="0.2">
      <c r="A19" s="81" t="s">
        <v>139</v>
      </c>
      <c r="B19" s="52"/>
      <c r="C19" s="52"/>
      <c r="D19" s="52"/>
      <c r="E19" s="52"/>
      <c r="F19" s="52"/>
      <c r="G19" s="18"/>
      <c r="H19" s="18"/>
      <c r="I19" s="18"/>
    </row>
    <row r="20" spans="1:9" ht="30" customHeight="1" x14ac:dyDescent="0.2">
      <c r="A20" s="80" t="s">
        <v>140</v>
      </c>
      <c r="B20" s="52"/>
      <c r="C20" s="52"/>
      <c r="D20" s="52"/>
      <c r="E20" s="52"/>
      <c r="F20" s="52"/>
      <c r="G20" s="18"/>
      <c r="H20" s="18"/>
      <c r="I20" s="18"/>
    </row>
    <row r="21" spans="1:9" ht="30" customHeight="1" x14ac:dyDescent="0.2">
      <c r="A21" s="81" t="s">
        <v>141</v>
      </c>
      <c r="B21" s="52"/>
      <c r="C21" s="52"/>
      <c r="D21" s="52"/>
      <c r="E21" s="52"/>
      <c r="F21" s="52"/>
      <c r="G21" s="18"/>
      <c r="H21" s="18"/>
      <c r="I21" s="18"/>
    </row>
    <row r="22" spans="1:9" ht="30" customHeight="1" x14ac:dyDescent="0.2">
      <c r="A22" s="80" t="s">
        <v>142</v>
      </c>
      <c r="B22" s="52"/>
      <c r="C22" s="52"/>
      <c r="D22" s="52"/>
      <c r="E22" s="52"/>
      <c r="F22" s="52"/>
      <c r="G22" s="18"/>
      <c r="H22" s="18"/>
      <c r="I22" s="18"/>
    </row>
    <row r="23" spans="1:9" ht="30" customHeight="1" x14ac:dyDescent="0.2">
      <c r="A23" s="81" t="s">
        <v>143</v>
      </c>
      <c r="B23" s="52"/>
      <c r="C23" s="52"/>
      <c r="D23" s="52"/>
      <c r="E23" s="52"/>
      <c r="F23" s="52"/>
      <c r="G23" s="18"/>
      <c r="H23" s="18"/>
      <c r="I23" s="18"/>
    </row>
    <row r="24" spans="1:9" ht="30" customHeight="1" x14ac:dyDescent="0.2">
      <c r="A24" s="80" t="s">
        <v>144</v>
      </c>
      <c r="B24" s="52"/>
      <c r="C24" s="52"/>
      <c r="D24" s="52"/>
      <c r="E24" s="52"/>
      <c r="F24" s="52"/>
      <c r="G24" s="18"/>
      <c r="H24" s="18"/>
      <c r="I24" s="18"/>
    </row>
    <row r="25" spans="1:9" x14ac:dyDescent="0.2">
      <c r="A25" s="18"/>
      <c r="B25" s="18"/>
      <c r="C25" s="18"/>
      <c r="D25" s="18"/>
      <c r="E25" s="18"/>
      <c r="F25" s="18"/>
      <c r="G25" s="18"/>
      <c r="H25" s="18"/>
      <c r="I25" s="18"/>
    </row>
    <row r="26" spans="1:9" x14ac:dyDescent="0.2">
      <c r="A26" s="18"/>
      <c r="B26" s="18"/>
      <c r="C26" s="18"/>
      <c r="D26" s="18"/>
      <c r="E26" s="18"/>
      <c r="F26" s="18"/>
      <c r="G26" s="18"/>
      <c r="H26" s="18"/>
      <c r="I26" s="18"/>
    </row>
    <row r="27" spans="1:9" x14ac:dyDescent="0.2">
      <c r="A27" s="18"/>
      <c r="B27" s="18"/>
      <c r="C27" s="18"/>
      <c r="D27" s="18"/>
      <c r="E27" s="18"/>
      <c r="F27" s="18"/>
      <c r="G27" s="18"/>
      <c r="H27" s="18"/>
      <c r="I27" s="18"/>
    </row>
    <row r="28" spans="1:9" x14ac:dyDescent="0.2">
      <c r="A28" s="18"/>
      <c r="B28" s="18"/>
      <c r="C28" s="18"/>
      <c r="D28" s="18"/>
      <c r="E28" s="18"/>
      <c r="F28" s="18"/>
      <c r="G28" s="18"/>
      <c r="H28" s="18"/>
      <c r="I28" s="18"/>
    </row>
    <row r="29" spans="1:9" x14ac:dyDescent="0.2">
      <c r="A29" s="18"/>
      <c r="B29" s="18"/>
      <c r="C29" s="18"/>
      <c r="D29" s="18"/>
      <c r="E29" s="18"/>
      <c r="F29" s="18"/>
      <c r="G29" s="18"/>
      <c r="H29" s="18"/>
      <c r="I29" s="18"/>
    </row>
  </sheetData>
  <sheetProtection algorithmName="SHA-512" hashValue="kqVMhl2WZ2JdGRp/GthDtVjRLYO8umk6vi3rKHQIio2RRo73XcCL+ZdLbjDngg9Pyre4G6nqXswzuUJ0jlUvVg==" saltValue="ybt7N/yLW0Q1eKzwFfErxg==" spinCount="100000" sheet="1" objects="1" scenarios="1" selectLockedCells="1"/>
  <mergeCells count="14">
    <mergeCell ref="A24:F24"/>
    <mergeCell ref="A19:F19"/>
    <mergeCell ref="A18:F18"/>
    <mergeCell ref="A23:F23"/>
    <mergeCell ref="A1:F1"/>
    <mergeCell ref="A20:F20"/>
    <mergeCell ref="A4:F4"/>
    <mergeCell ref="A7:F7"/>
    <mergeCell ref="A16:F16"/>
    <mergeCell ref="A22:F22"/>
    <mergeCell ref="A2:F2"/>
    <mergeCell ref="A17:F17"/>
    <mergeCell ref="A5:F5"/>
    <mergeCell ref="A21:F21"/>
  </mergeCells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How To Use</vt:lpstr>
      <vt:lpstr>Inputs</vt:lpstr>
      <vt:lpstr>Dashboard</vt:lpstr>
      <vt:lpstr>Year-by-Year Analysis</vt:lpstr>
      <vt:lpstr>Long-term Equity View</vt:lpstr>
      <vt:lpstr>Sensitivity Analysis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Andrew Romano | FTC</cp:lastModifiedBy>
  <cp:revision>2</cp:revision>
  <dcterms:created xsi:type="dcterms:W3CDTF">2026-02-12T09:23:36Z</dcterms:created>
  <dcterms:modified xsi:type="dcterms:W3CDTF">2026-02-15T22:35:37Z</dcterms:modified>
  <dc:language>en-US</dc:language>
</cp:coreProperties>
</file>